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DLZNNGAS\Restlastveröffentlichung\SW\"/>
    </mc:Choice>
  </mc:AlternateContent>
  <bookViews>
    <workbookView xWindow="0" yWindow="0" windowWidth="25200" windowHeight="1317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6" i="17" l="1"/>
  <c r="E5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J53" i="18"/>
  <c r="G53" i="18"/>
  <c r="E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M53" i="18" l="1"/>
  <c r="F63" i="18"/>
  <c r="I63" i="18"/>
  <c r="K63" i="18"/>
  <c r="N63" i="18"/>
  <c r="D32" i="18"/>
  <c r="L31" i="18" s="1"/>
  <c r="F53" i="18"/>
  <c r="D56" i="18" s="1"/>
  <c r="J55" i="18" s="1"/>
  <c r="I53" i="18"/>
  <c r="K53" i="18"/>
  <c r="N53" i="18"/>
  <c r="E63" i="18"/>
  <c r="G63" i="18"/>
  <c r="J63" i="18"/>
  <c r="M63" i="18"/>
  <c r="N21" i="18"/>
  <c r="J21" i="18"/>
  <c r="F21" i="18"/>
  <c r="M21" i="18"/>
  <c r="I21" i="18"/>
  <c r="L21" i="18"/>
  <c r="H21" i="18"/>
  <c r="K21" i="18"/>
  <c r="G21" i="18"/>
  <c r="H31" i="18"/>
  <c r="G31" i="18"/>
  <c r="J31" i="18"/>
  <c r="H53" i="18"/>
  <c r="H63" i="18"/>
  <c r="D66" i="18" s="1"/>
  <c r="D24" i="15"/>
  <c r="C23" i="15"/>
  <c r="M31" i="18" l="1"/>
  <c r="I31" i="18"/>
  <c r="F31" i="18"/>
  <c r="N31" i="18"/>
  <c r="K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31" i="18" l="1"/>
  <c r="E55" i="18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X12" i="7" l="1"/>
  <c r="X21" i="7"/>
  <c r="X13" i="7"/>
  <c r="X11" i="7"/>
  <c r="X23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0" i="7" s="1"/>
  <c r="H21" i="4"/>
  <c r="V20" i="7" s="1"/>
  <c r="G21" i="4"/>
  <c r="U20" i="7" s="1"/>
  <c r="F21" i="4"/>
  <c r="T20" i="7" s="1"/>
  <c r="E21" i="4"/>
  <c r="S20" i="7" s="1"/>
  <c r="D21" i="4"/>
  <c r="R20" i="7" s="1"/>
  <c r="M20" i="4"/>
  <c r="M19" i="4"/>
  <c r="M16" i="4"/>
  <c r="M18" i="4"/>
  <c r="M17" i="4"/>
  <c r="M15" i="4"/>
  <c r="M14" i="4"/>
  <c r="M13" i="4"/>
  <c r="M12" i="4"/>
  <c r="M11" i="4"/>
  <c r="X20" i="7" l="1"/>
  <c r="C3" i="8"/>
  <c r="B3" i="8"/>
  <c r="C11" i="8"/>
  <c r="C8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13" i="7" l="1"/>
  <c r="F12" i="7"/>
  <c r="K13" i="7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L12" i="7"/>
  <c r="H12" i="7"/>
  <c r="I11" i="7"/>
  <c r="F23" i="7"/>
  <c r="F21" i="7"/>
  <c r="F19" i="7"/>
  <c r="F17" i="7"/>
  <c r="F15" i="7"/>
  <c r="F22" i="7"/>
  <c r="F20" i="7"/>
  <c r="F18" i="7"/>
  <c r="F16" i="7"/>
  <c r="F14" i="7"/>
  <c r="F11" i="7"/>
  <c r="M8" i="4"/>
  <c r="M7" i="4"/>
  <c r="C5" i="1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<sst xmlns="http://schemas.openxmlformats.org/spreadsheetml/2006/main" count="1375" uniqueCount="682">
  <si>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</si>
  <si>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</si>
  <si>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</si>
  <si>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</si>
  <si>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</si>
  <si>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</si>
  <si>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</si>
  <si>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</si>
  <si>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</si>
  <si>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</si>
  <si>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</si>
  <si>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</si>
  <si>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</si>
  <si>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</si>
  <si>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</si>
  <si>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</si>
  <si>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</si>
  <si>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</si>
  <si>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</si>
  <si>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</si>
  <si>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</si>
  <si>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</si>
  <si>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</si>
  <si>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</si>
  <si>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</si>
  <si>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</si>
  <si>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</si>
  <si>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</si>
  <si>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</si>
  <si>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</si>
  <si>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</si>
  <si>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</si>
  <si>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</si>
  <si>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</si>
  <si>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</si>
  <si>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</si>
  <si>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</si>
  <si>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</si>
  <si>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</si>
  <si>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</si>
  <si>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</si>
  <si>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</si>
  <si>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</si>
  <si>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</si>
  <si>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</si>
  <si>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</si>
  <si>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</si>
  <si>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</si>
  <si>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</si>
  <si>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</si>
  <si>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</si>
  <si>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</si>
  <si>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</si>
  <si>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</si>
  <si>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</si>
  <si>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</si>
  <si>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</si>
  <si>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</si>
  <si>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</si>
  <si>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</si>
  <si>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</si>
  <si>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</si>
  <si>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</si>
  <si>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</si>
  <si>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</si>
  <si>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</si>
  <si>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</si>
  <si>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</si>
  <si>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</si>
  <si>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</si>
  <si>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</si>
  <si>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</si>
  <si>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</si>
  <si>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</si>
  <si>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</si>
  <si>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</si>
  <si>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</si>
  <si>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</si>
  <si>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</si>
  <si>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</si>
  <si>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</si>
  <si>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</si>
  <si>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</si>
  <si>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</si>
  <si>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</si>
  <si>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</si>
  <si>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</si>
  <si>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</si>
  <si>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</si>
  <si>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</si>
  <si>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</si>
  <si>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</si>
  <si>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</si>
  <si>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</si>
  <si>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</si>
  <si>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</si>
  <si>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</si>
  <si>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</si>
  <si>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</si>
  <si>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</si>
  <si>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</si>
  <si>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</si>
  <si>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</si>
  <si>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</si>
  <si>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</si>
  <si>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</si>
  <si>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</si>
  <si>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</si>
  <si>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</si>
  <si>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</si>
  <si>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</si>
  <si>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</si>
  <si>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</si>
  <si>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</si>
  <si>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</si>
  <si>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</si>
  <si>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</si>
  <si>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</si>
  <si>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</si>
  <si>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</si>
  <si>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</si>
  <si>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</si>
  <si>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</si>
  <si>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</si>
  <si>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</si>
  <si>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</si>
  <si>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</si>
  <si>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</si>
  <si>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</si>
  <si>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</si>
  <si>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</si>
  <si>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</si>
  <si>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</si>
  <si>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</si>
  <si>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</si>
  <si>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</si>
  <si>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</si>
  <si>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</si>
  <si>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</si>
  <si>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</si>
  <si>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</si>
  <si>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</si>
  <si>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</si>
  <si>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</si>
  <si>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</si>
  <si>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</si>
  <si>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</si>
  <si>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</si>
  <si>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</si>
  <si>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</si>
  <si>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</si>
  <si>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</si>
  <si>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</si>
  <si>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</si>
  <si>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</si>
  <si>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</si>
  <si>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</si>
  <si>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</si>
  <si>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</si>
  <si>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</si>
  <si>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</si>
  <si>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</si>
  <si>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</si>
  <si>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</si>
  <si>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</si>
  <si>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</si>
  <si>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</si>
  <si>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</si>
  <si>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</si>
  <si>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</si>
  <si>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</si>
  <si>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</si>
  <si>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</si>
  <si>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</si>
  <si>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</si>
  <si>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</si>
  <si>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</si>
  <si>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</si>
  <si>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</si>
  <si>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</si>
  <si>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</si>
  <si>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</si>
  <si>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</si>
  <si>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</si>
  <si>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</si>
  <si>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</si>
  <si>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</si>
  <si>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</si>
  <si>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</si>
  <si>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</si>
  <si>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</si>
  <si>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</si>
  <si>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</si>
  <si>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</si>
  <si>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</si>
  <si>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</si>
  <si>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</si>
  <si>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</si>
  <si>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</si>
  <si>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</si>
  <si>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</si>
  <si>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</si>
  <si>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</si>
  <si>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</si>
  <si>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</si>
  <si>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</si>
  <si>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</si>
  <si>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</si>
  <si>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</si>
  <si>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</si>
  <si>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</si>
  <si>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</si>
  <si>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</si>
  <si>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</si>
  <si>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</si>
  <si>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</si>
  <si>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</si>
  <si>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</si>
  <si>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</si>
  <si>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</si>
  <si>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</si>
  <si>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</si>
  <si>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</si>
  <si>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</si>
  <si>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</si>
  <si>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</si>
  <si>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</si>
  <si>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</si>
  <si>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</si>
  <si>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</si>
  <si>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</si>
  <si>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</si>
  <si>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</si>
  <si>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</si>
  <si>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</si>
  <si>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</si>
  <si>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</si>
  <si>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</si>
  <si>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</si>
  <si>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</si>
  <si>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</si>
  <si>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</si>
  <si>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</si>
  <si>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</si>
  <si>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</si>
  <si>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</si>
  <si>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</si>
  <si>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</si>
  <si>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</si>
  <si>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</si>
  <si>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</si>
  <si>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</si>
  <si>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</si>
  <si>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</si>
  <si>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</si>
  <si>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</si>
  <si>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</si>
  <si>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</si>
  <si>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</si>
  <si>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</si>
  <si>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</si>
  <si>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</si>
  <si>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</si>
  <si>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</si>
  <si>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</si>
  <si>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</si>
  <si>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</si>
  <si>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</si>
  <si>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</si>
  <si>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</si>
  <si>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</si>
  <si>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</si>
  <si>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</si>
  <si>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</si>
  <si>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</si>
  <si>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</si>
  <si>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</si>
  <si>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</si>
  <si>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</si>
  <si>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</si>
  <si>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</si>
  <si>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</si>
  <si>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</si>
  <si>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</si>
  <si>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</si>
  <si>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</si>
  <si>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</si>
  <si>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</si>
  <si>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</si>
  <si>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</si>
  <si>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</si>
  <si>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</si>
  <si>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</si>
  <si>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</si>
  <si>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</si>
  <si>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</si>
  <si>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</si>
  <si>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</si>
  <si>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</si>
  <si>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</si>
  <si>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</si>
  <si>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</si>
  <si>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</si>
  <si>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</si>
  <si>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</si>
  <si>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</si>
  <si>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</si>
  <si>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</si>
  <si>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</si>
  <si>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</si>
  <si>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</si>
  <si>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</si>
  <si>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</si>
  <si>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</si>
  <si>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</si>
  <si>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</si>
  <si>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</si>
  <si>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</si>
  <si>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</si>
  <si>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</si>
  <si>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</si>
  <si>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</si>
  <si>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</si>
  <si>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</si>
  <si>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</si>
  <si>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</si>
  <si>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</si>
  <si>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</si>
  <si>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</si>
  <si>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</si>
  <si>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</si>
  <si>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</si>
  <si>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</si>
  <si>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</si>
  <si>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</si>
  <si>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</si>
  <si>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</si>
  <si>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</si>
  <si>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</si>
  <si>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</si>
  <si>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</si>
  <si>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</si>
  <si>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</si>
  <si>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</si>
  <si>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</si>
  <si>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</si>
  <si>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</si>
  <si>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</si>
  <si>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</si>
  <si>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</si>
  <si>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</si>
  <si>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</si>
  <si>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</si>
  <si>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</si>
  <si>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</si>
  <si>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</si>
  <si>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</si>
  <si>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</si>
  <si>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</si>
  <si>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</si>
  <si>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</si>
  <si>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</si>
  <si>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</si>
  <si>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</si>
  <si>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</si>
  <si>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</si>
  <si>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</si>
  <si>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</si>
  <si>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</si>
  <si>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</si>
  <si>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</si>
  <si>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</si>
  <si>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</si>
  <si>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</si>
  <si>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</si>
  <si>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</si>
  <si>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</si>
  <si>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</si>
  <si>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</si>
  <si>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</si>
  <si>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</si>
  <si>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</si>
  <si>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</si>
  <si>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</si>
  <si>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</si>
  <si>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</si>
  <si>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</si>
  <si>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</si>
  <si>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</si>
  <si>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</si>
  <si>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</si>
  <si>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</si>
  <si>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</si>
  <si>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</si>
  <si>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</si>
  <si>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</si>
  <si>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</si>
  <si>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</si>
  <si>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</si>
  <si>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</si>
  <si>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</si>
  <si>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</si>
  <si>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</si>
  <si>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</si>
  <si>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</si>
  <si>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</si>
  <si>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</si>
  <si>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</si>
  <si>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</si>
  <si>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</si>
  <si>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</si>
  <si>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</si>
  <si>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</si>
  <si>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</si>
  <si>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</si>
  <si>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</si>
  <si>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</si>
  <si>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</si>
  <si>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</si>
  <si>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</si>
  <si>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</si>
  <si>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</si>
  <si>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</si>
  <si>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</si>
  <si>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</si>
  <si>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</si>
  <si>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</si>
  <si>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</si>
  <si>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</si>
  <si>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</si>
  <si>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</si>
  <si>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</si>
  <si>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</si>
  <si>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</si>
  <si>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</si>
  <si>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</si>
  <si>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</si>
  <si>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</si>
  <si>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</si>
  <si>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</si>
  <si>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</si>
  <si>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</si>
  <si>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</si>
  <si>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</si>
  <si>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</si>
  <si>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</si>
  <si>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</si>
  <si>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</si>
  <si>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</si>
  <si>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</si>
  <si>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</si>
  <si>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</si>
  <si>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</si>
  <si>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</si>
  <si>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</si>
  <si>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</si>
  <si>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</si>
  <si>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</si>
  <si>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</si>
  <si>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</si>
  <si>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</si>
  <si>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</si>
  <si>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</si>
  <si>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</si>
  <si>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</si>
  <si>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</si>
  <si>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</si>
  <si>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</si>
  <si>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</si>
  <si>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</si>
  <si>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</si>
  <si>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</si>
  <si>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</si>
  <si>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</si>
  <si>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</si>
  <si>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</si>
  <si>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</si>
  <si>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</si>
  <si>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</si>
  <si>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</si>
  <si>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</si>
  <si>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</si>
  <si>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</si>
  <si>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</si>
  <si>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</si>
  <si>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</si>
  <si>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</si>
  <si>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</si>
  <si>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</si>
  <si>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</si>
  <si>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</si>
  <si>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</si>
  <si>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</si>
  <si>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</si>
  <si>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</si>
  <si>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</si>
  <si>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</si>
  <si>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</si>
  <si>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</si>
  <si>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</si>
  <si>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</si>
  <si>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</si>
  <si>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</si>
  <si>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</si>
  <si>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</si>
  <si>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</si>
  <si>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</si>
  <si>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</si>
  <si>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</si>
  <si>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</si>
  <si>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</si>
  <si>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</si>
  <si>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</si>
  <si>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</si>
  <si>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</si>
  <si>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</si>
  <si>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</si>
  <si>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</si>
  <si>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</si>
  <si>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</si>
  <si>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</si>
  <si>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</si>
  <si>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</si>
  <si>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</si>
  <si>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</si>
  <si>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</si>
  <si>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</si>
  <si>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</si>
  <si>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</si>
  <si>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</si>
  <si>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</si>
  <si>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</si>
  <si>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</si>
  <si>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</si>
  <si>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</si>
  <si>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</si>
  <si>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</si>
  <si>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</si>
  <si>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</si>
  <si>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</si>
  <si>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</si>
  <si>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</si>
  <si>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</si>
  <si>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</si>
  <si>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</si>
  <si>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</si>
  <si>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</si>
  <si>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</si>
  <si>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</si>
  <si>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</si>
  <si>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</si>
  <si>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</si>
  <si>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</si>
  <si>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</si>
  <si>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</si>
  <si>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</si>
  <si>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</si>
  <si>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</si>
  <si>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</si>
  <si>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</si>
  <si>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</si>
  <si>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</si>
  <si>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</si>
  <si>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</si>
  <si>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</si>
  <si>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</si>
  <si>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</si>
  <si>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</si>
  <si>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</si>
  <si>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</si>
  <si>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</si>
  <si>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</si>
  <si>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</si>
  <si>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</si>
  <si>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</si>
  <si>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</si>
  <si>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</si>
  <si>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</si>
  <si>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</si>
  <si>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</si>
  <si>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</si>
  <si>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</si>
  <si>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</si>
  <si>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</si>
  <si>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</si>
  <si>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</si>
  <si>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</si>
  <si>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</si>
  <si>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</si>
  <si>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</si>
  <si>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</si>
  <si>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</si>
  <si>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</si>
  <si>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</si>
  <si>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</si>
  <si>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</si>
  <si>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</si>
  <si>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</si>
  <si>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</si>
  <si>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</si>
  <si>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</si>
  <si>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</si>
  <si>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</si>
  <si>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</si>
  <si>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</si>
  <si>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</si>
  <si>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</si>
  <si>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</si>
  <si>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</si>
  <si>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</si>
  <si>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</si>
  <si>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</si>
  <si>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</si>
  <si>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</si>
  <si>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</si>
  <si>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</si>
  <si>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</si>
  <si>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</si>
  <si>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</si>
  <si>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</si>
  <si>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</si>
  <si>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</si>
  <si>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</si>
  <si>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</si>
  <si>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</si>
  <si>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</si>
  <si>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</si>
  <si>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</si>
  <si>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</si>
  <si>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</si>
  <si>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</si>
  <si>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</si>
  <si>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</si>
  <si>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</si>
  <si>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</si>
  <si>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</si>
  <si>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</si>
  <si>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</si>
  <si>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</si>
  <si>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</si>
  <si>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</si>
  <si>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</si>
  <si>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</si>
  <si>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</si>
  <si>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</si>
  <si>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</si>
  <si>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</si>
  <si>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</si>
  <si>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</si>
  <si>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</si>
  <si>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</si>
  <si>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</si>
  <si>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</si>
  <si>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</si>
  <si>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</si>
  <si>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</si>
  <si>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</si>
  <si>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</si>
  <si>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Herr Thiere</t>
  </si>
  <si>
    <t>nb-bk@eeg-energie.de</t>
  </si>
  <si>
    <t>04193 7535-19</t>
  </si>
  <si>
    <t>Fuhlsbüttel(10147)</t>
  </si>
  <si>
    <t>Fuhlsbüttel</t>
  </si>
  <si>
    <t>9870034000008</t>
  </si>
  <si>
    <t>Am Hafen 67</t>
  </si>
  <si>
    <t>Pinneberg</t>
  </si>
  <si>
    <t>GASPOOLNH7003401</t>
  </si>
  <si>
    <t>DE_GBA03</t>
  </si>
  <si>
    <t>DE_GBD03</t>
  </si>
  <si>
    <t>DE_GBH03</t>
  </si>
  <si>
    <t>DE_GGA03</t>
  </si>
  <si>
    <t>DE_GGB03</t>
  </si>
  <si>
    <t>DE_GHA03</t>
  </si>
  <si>
    <t>DE_GKO03</t>
  </si>
  <si>
    <t>DE_GMF03</t>
  </si>
  <si>
    <t>DE_GMK03</t>
  </si>
  <si>
    <t>DE_GPD03</t>
  </si>
  <si>
    <t>DE_GWA03</t>
  </si>
  <si>
    <t>Ind.-Koef.</t>
  </si>
  <si>
    <t>PI0</t>
  </si>
  <si>
    <t xml:space="preserve">Stadtwerke Pinneberg GmbH </t>
  </si>
  <si>
    <t>-31,6427510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</si>
</sst>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;;;"/>
    <numFmt numFmtId="175" formatCode="\$#,#00"/>
    <numFmt numFmtId="176" formatCode="_-* #,##0.00000000\ _€_-;\-* #,##0.00000000\ _€_-;_-* &quot;-&quot;??\ _€_-;_-@_-"/>
    <numFmt numFmtId="177" formatCode="#,##0.00000000_ ;\-#,##0.00000000\ "/>
    <numFmt numFmtId="178" formatCode="#,##0.0_ ;\-#,##0.0\ "/>
    <numFmt numFmtId="179" formatCode="_-\ #,##0.00000000\ _€_-;\-\ #,##0.00000000\ _€_-;_-* &quot;-&quot;??\ _€_-;_-@_-"/>
    <numFmt numFmtId="180" formatCode="\D\-00000"/>
    <numFmt numFmtId="181" formatCode="0\ &quot;h&quot;"/>
    <numFmt numFmtId="182" formatCode="#,##0.00000000_-\ ;\-#,##0.00000000_-;0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4" fontId="42" fillId="0" borderId="0">
      <alignment horizontal="right"/>
    </xf>
    <xf numFmtId="0" fontId="43" fillId="0" borderId="36" applyNumberFormat="0" applyFill="0" applyAlignment="0" applyProtection="0"/>
    <xf numFmtId="175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3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0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1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7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6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6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6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Alignment="1" applyProtection="1">
      <alignment horizontal="center"/>
    </xf>
    <xf numFmtId="179" fontId="0" fillId="0" borderId="0" xfId="1" applyNumberFormat="1" applyFont="1" applyBorder="1" applyProtection="1"/>
    <xf numFmtId="179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82" fontId="0" fillId="71" borderId="0" xfId="0" applyNumberFormat="1" applyFont="1" applyFill="1" applyBorder="1" applyAlignment="1" applyProtection="1">
      <alignment horizontal="center" vertical="center"/>
      <protection locked="0"/>
    </xf>
    <xf numFmtId="182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7" fontId="0" fillId="0" borderId="0" xfId="69" applyNumberFormat="1" applyFont="1" applyBorder="1" applyProtection="1"/>
    <xf numFmtId="177" fontId="0" fillId="0" borderId="0" xfId="69" applyNumberFormat="1" applyFont="1" applyBorder="1" applyAlignment="1" applyProtection="1">
      <alignment vertical="center"/>
    </xf>
    <xf numFmtId="178" fontId="0" fillId="0" borderId="0" xfId="69" applyNumberFormat="1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18" xfId="69" applyNumberFormat="1" applyFont="1" applyBorder="1" applyProtection="1"/>
    <xf numFmtId="177" fontId="12" fillId="34" borderId="0" xfId="69" applyNumberFormat="1" applyFont="1" applyFill="1" applyBorder="1" applyProtection="1"/>
    <xf numFmtId="178" fontId="12" fillId="34" borderId="0" xfId="69" applyNumberFormat="1" applyFont="1" applyFill="1" applyBorder="1" applyAlignment="1" applyProtection="1">
      <alignment horizontal="center"/>
    </xf>
    <xf numFmtId="179" fontId="12" fillId="34" borderId="0" xfId="69" applyNumberFormat="1" applyFont="1" applyFill="1" applyBorder="1" applyProtection="1"/>
    <xf numFmtId="179" fontId="12" fillId="34" borderId="18" xfId="69" applyNumberFormat="1" applyFont="1" applyFill="1" applyBorder="1" applyProtection="1"/>
    <xf numFmtId="177" fontId="12" fillId="76" borderId="0" xfId="69" applyNumberFormat="1" applyFont="1" applyFill="1" applyBorder="1" applyProtection="1"/>
    <xf numFmtId="178" fontId="12" fillId="76" borderId="0" xfId="69" applyNumberFormat="1" applyFont="1" applyFill="1" applyBorder="1" applyAlignment="1" applyProtection="1">
      <alignment horizontal="center"/>
    </xf>
    <xf numFmtId="179" fontId="12" fillId="76" borderId="0" xfId="69" applyNumberFormat="1" applyFont="1" applyFill="1" applyBorder="1" applyProtection="1"/>
    <xf numFmtId="179" fontId="12" fillId="76" borderId="18" xfId="69" applyNumberFormat="1" applyFont="1" applyFill="1" applyBorder="1" applyProtection="1"/>
    <xf numFmtId="177" fontId="0" fillId="34" borderId="0" xfId="69" applyNumberFormat="1" applyFont="1" applyFill="1" applyBorder="1" applyProtection="1"/>
    <xf numFmtId="178" fontId="0" fillId="34" borderId="0" xfId="69" applyNumberFormat="1" applyFont="1" applyFill="1" applyBorder="1" applyAlignment="1" applyProtection="1">
      <alignment horizontal="center"/>
    </xf>
    <xf numFmtId="179" fontId="0" fillId="34" borderId="0" xfId="69" applyNumberFormat="1" applyFont="1" applyFill="1" applyBorder="1" applyProtection="1"/>
    <xf numFmtId="179" fontId="0" fillId="34" borderId="18" xfId="69" applyNumberFormat="1" applyFont="1" applyFill="1" applyBorder="1" applyProtection="1"/>
    <xf numFmtId="177" fontId="12" fillId="76" borderId="40" xfId="69" applyNumberFormat="1" applyFont="1" applyFill="1" applyBorder="1" applyProtection="1"/>
    <xf numFmtId="178" fontId="12" fillId="76" borderId="40" xfId="69" applyNumberFormat="1" applyFont="1" applyFill="1" applyBorder="1" applyAlignment="1" applyProtection="1">
      <alignment horizontal="center"/>
    </xf>
    <xf numFmtId="179" fontId="12" fillId="76" borderId="40" xfId="69" applyNumberFormat="1" applyFont="1" applyFill="1" applyBorder="1" applyProtection="1"/>
    <xf numFmtId="179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49" fontId="12" fillId="0" borderId="0" xfId="3" applyNumberFormat="1" applyFont="1" applyFill="1" applyAlignment="1" applyProtection="1">
      <alignment horizontal="left"/>
      <protection hidden="1"/>
    </xf>
    <xf numFmtId="189" fontId="0" fillId="71" borderId="0" xfId="0" quotePrefix="1" applyNumberForma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42185</v>
      </c>
      <c r="E29" s="8"/>
      <c r="F29" s="8"/>
      <c r="G29" s="8"/>
      <c r="H29" s="8"/>
    </row>
    <row r="30" spans="2:12">
      <c r="B30" s="21" t="s">
        <v>350</v>
      </c>
      <c r="C30" s="339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8" sqref="C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42171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680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42" t="s">
        <v>663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664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25421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398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GASPOOLNH7003401</v>
      </c>
      <c r="E28" s="38"/>
      <c r="F28" s="11"/>
      <c r="G28" s="2"/>
    </row>
    <row r="29" spans="1:15">
      <c r="B29" s="15"/>
      <c r="C29" s="22" t="s">
        <v>398</v>
      </c>
      <c r="D29" s="45" t="s">
        <v>666</v>
      </c>
      <c r="E29" s="40"/>
      <c r="F29" s="11"/>
      <c r="G29" s="2"/>
    </row>
    <row r="30" spans="1:15">
      <c r="B30" s="15"/>
      <c r="C30" s="22" t="s">
        <v>399</v>
      </c>
      <c r="D30" s="45"/>
      <c r="E30" s="40"/>
      <c r="F30" s="47"/>
      <c r="G30" s="2"/>
    </row>
    <row r="31" spans="1:15">
      <c r="B31" s="15"/>
      <c r="C31" s="22" t="s">
        <v>424</v>
      </c>
      <c r="D31" s="46"/>
      <c r="E31" s="40"/>
      <c r="F31" s="47"/>
      <c r="G31" s="2"/>
    </row>
    <row r="32" spans="1:15">
      <c r="B32" s="15"/>
      <c r="C32" s="22" t="s">
        <v>425</v>
      </c>
      <c r="D32" s="46"/>
      <c r="E32" s="40"/>
      <c r="F32" s="47"/>
      <c r="G32" s="2"/>
    </row>
    <row r="33" spans="2:7">
      <c r="B33" s="15"/>
      <c r="C33" s="22" t="s">
        <v>426</v>
      </c>
      <c r="D33" s="45"/>
      <c r="E33" s="40"/>
      <c r="F33" s="47"/>
      <c r="G33" s="2"/>
    </row>
    <row r="34" spans="2:7">
      <c r="B34" s="15"/>
      <c r="C34" s="22" t="s">
        <v>427</v>
      </c>
      <c r="D34" s="46"/>
      <c r="E34" s="40"/>
      <c r="F34" s="47"/>
      <c r="G34" s="2"/>
    </row>
    <row r="35" spans="2:7">
      <c r="B35" s="15"/>
      <c r="C35" s="22" t="s">
        <v>428</v>
      </c>
      <c r="D35" s="46"/>
      <c r="E35" s="40"/>
      <c r="F35" s="47"/>
      <c r="G35" s="2"/>
    </row>
    <row r="36" spans="2:7">
      <c r="B36" s="15"/>
      <c r="C36" s="22" t="s">
        <v>429</v>
      </c>
      <c r="D36" s="46"/>
      <c r="E36" s="40"/>
      <c r="F36" s="47"/>
      <c r="G36" s="2"/>
    </row>
    <row r="37" spans="2:7">
      <c r="B37" s="15"/>
      <c r="C37" s="22" t="s">
        <v>430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" zoomScale="80" zoomScaleNormal="80" workbookViewId="0">
      <selection activeCell="E27" sqref="E2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 xml:space="preserve">Stadtwerke Pinneberg GmbH 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GASPOOLNH7003401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 t="str">
        <f>Netzbetreiber!$D$11</f>
        <v>9870034000008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260</v>
      </c>
      <c r="E11" s="15"/>
      <c r="H11" s="277" t="s">
        <v>257</v>
      </c>
      <c r="I11" s="277" t="s">
        <v>260</v>
      </c>
      <c r="J11" s="277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7" t="s">
        <v>623</v>
      </c>
      <c r="I13" s="277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2" t="s">
        <v>338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666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84</v>
      </c>
      <c r="C18" s="31" t="s">
        <v>371</v>
      </c>
      <c r="D18" s="49" t="s">
        <v>135</v>
      </c>
      <c r="E18" s="15"/>
      <c r="H18" s="275" t="s">
        <v>258</v>
      </c>
      <c r="I18" s="275" t="s">
        <v>135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6" t="s">
        <v>582</v>
      </c>
      <c r="I19" s="276" t="s">
        <v>493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6" t="s">
        <v>494</v>
      </c>
      <c r="I20" s="276" t="s">
        <v>495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3" t="s">
        <v>616</v>
      </c>
      <c r="I22" s="273" t="s">
        <v>617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3" t="s">
        <v>619</v>
      </c>
      <c r="I23" s="8" t="s">
        <v>615</v>
      </c>
      <c r="J23" s="8"/>
      <c r="K23" s="8"/>
      <c r="L23" s="274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3" t="s">
        <v>618</v>
      </c>
      <c r="I24" s="273" t="s">
        <v>625</v>
      </c>
      <c r="J24" s="8"/>
      <c r="K24" s="8"/>
      <c r="L24" s="276" t="s">
        <v>626</v>
      </c>
      <c r="M24" s="276" t="s">
        <v>628</v>
      </c>
      <c r="N24" s="276" t="s">
        <v>627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373</v>
      </c>
      <c r="C26" s="6" t="s">
        <v>585</v>
      </c>
      <c r="D26" s="42" t="s">
        <v>134</v>
      </c>
      <c r="E26" s="15"/>
      <c r="H26" s="275" t="s">
        <v>134</v>
      </c>
      <c r="I26" s="275" t="s">
        <v>136</v>
      </c>
      <c r="J26" s="273"/>
      <c r="K26" s="273"/>
      <c r="L26" s="274"/>
    </row>
    <row r="27" spans="2:16" ht="15" customHeight="1">
      <c r="B27" s="7"/>
      <c r="C27" s="6" t="s">
        <v>629</v>
      </c>
      <c r="D27" s="42" t="s">
        <v>630</v>
      </c>
      <c r="E27" s="15"/>
      <c r="H27" s="309" t="s">
        <v>630</v>
      </c>
      <c r="I27" s="275" t="s">
        <v>631</v>
      </c>
      <c r="J27" s="275" t="s">
        <v>632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633</v>
      </c>
      <c r="I28" s="276" t="s">
        <v>634</v>
      </c>
      <c r="J28" s="276" t="s">
        <v>635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636</v>
      </c>
      <c r="I29" s="276" t="s">
        <v>637</v>
      </c>
      <c r="J29" s="276" t="s">
        <v>638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498</v>
      </c>
      <c r="C31" s="6" t="s">
        <v>584</v>
      </c>
      <c r="D31" s="42" t="s">
        <v>134</v>
      </c>
      <c r="E31" s="15"/>
      <c r="H31" s="275" t="s">
        <v>134</v>
      </c>
      <c r="I31" s="275" t="s">
        <v>136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 × F(opt)</v>
      </c>
      <c r="D32" s="15"/>
      <c r="E32" s="15"/>
      <c r="H32" s="276" t="s">
        <v>639</v>
      </c>
      <c r="I32" s="276" t="s">
        <v>640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Hinweis: beim Verwendung von Optimierungsfaktoren, sind tägl. anwendungsspezif. Parameter bereitzustellen. </v>
      </c>
      <c r="D33" s="15"/>
      <c r="E33" s="15"/>
      <c r="H33" s="276" t="s">
        <v>641</v>
      </c>
      <c r="I33" s="273" t="s">
        <v>636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556</v>
      </c>
      <c r="C35" s="24" t="s">
        <v>500</v>
      </c>
      <c r="D35" s="269">
        <v>13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557</v>
      </c>
      <c r="C37" s="5" t="s">
        <v>368</v>
      </c>
      <c r="D37" s="34">
        <v>1500000</v>
      </c>
      <c r="E37" s="15" t="s">
        <v>513</v>
      </c>
      <c r="I37" s="273"/>
      <c r="J37" s="273"/>
      <c r="K37" s="273"/>
      <c r="L37" s="273"/>
      <c r="M37" s="274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369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661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conditionalFormatting sqref="D15">
    <cfRule type="expression" dxfId="55" priority="20">
      <formula>IF($D$11="Gaspool",1,0)</formula>
    </cfRule>
  </conditionalFormatting>
  <conditionalFormatting sqref="D16">
    <cfRule type="expression" dxfId="54" priority="17">
      <formula>IF($D$11="NCG",1,0)</formula>
    </cfRule>
  </conditionalFormatting>
  <conditionalFormatting sqref="D48:D62">
    <cfRule type="expression" dxfId="53" priority="16">
      <formula>IF(CELL("Zeile",D48)&lt;$D$46+CELL("Zeile",$D$48),1,0)</formula>
    </cfRule>
  </conditionalFormatting>
  <conditionalFormatting sqref="D49:D62">
    <cfRule type="expression" dxfId="52" priority="15">
      <formula>IF(CELL(D49)&lt;$D$36+27,1,0)</formula>
    </cfRule>
  </conditionalFormatting>
  <conditionalFormatting sqref="D23">
    <cfRule type="expression" dxfId="51" priority="14">
      <formula>IF($D$22=$H$22,1,0)</formula>
    </cfRule>
  </conditionalFormatting>
  <conditionalFormatting sqref="D31">
    <cfRule type="expression" dxfId="50" priority="3">
      <formula>IF($D$18="synthetisch",1,0)</formula>
    </cfRule>
  </conditionalFormatting>
  <conditionalFormatting sqref="D28">
    <cfRule type="expression" dxfId="49" priority="1">
      <formula>IF(AND($D$27=$I$27,$D$26=$H$26),1,0)</formula>
    </cfRule>
  </conditionalFormatting>
  <conditionalFormatting sqref="D26:D28">
    <cfRule type="expression" dxfId="48" priority="4">
      <formula>IF($D$18="analytisch",1,0)</formula>
    </cfRule>
  </conditionalFormatting>
  <conditionalFormatting sqref="D27">
    <cfRule type="expression" dxfId="47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H33" sqref="H33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551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tr">
        <f>Netzbetreiber!D9</f>
        <v xml:space="preserve">Stadtwerke Pinneberg GmbH 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Netzbetreiber!D29</f>
        <v>GASPOOLNH7003401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343" t="str">
        <f>Netzbetreiber!D11</f>
        <v>9870034000008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300">
        <v>1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7" t="str">
        <f>INDEX('SLP-Verfahren'!D48:D62,'SLP-Temp-Gebiet #01'!F10)</f>
        <v>Fuhlsbüttel(10147)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5" t="s">
        <v>591</v>
      </c>
      <c r="D13" s="345"/>
      <c r="E13" s="345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6" t="s">
        <v>452</v>
      </c>
      <c r="D14" s="346"/>
      <c r="E14" s="90" t="s">
        <v>453</v>
      </c>
      <c r="F14" s="267" t="s">
        <v>85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46" t="s">
        <v>390</v>
      </c>
      <c r="D15" s="346"/>
      <c r="E15" s="90" t="s">
        <v>453</v>
      </c>
      <c r="F15" s="267" t="s">
        <v>71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532</v>
      </c>
      <c r="D21" s="154" t="s">
        <v>522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544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527</v>
      </c>
      <c r="D24" s="189"/>
      <c r="E24" s="340" t="s">
        <v>662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>
        <v>10147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533</v>
      </c>
      <c r="D31" s="187" t="s">
        <v>255</v>
      </c>
      <c r="E31" s="288">
        <f>1-SUMPRODUCT(F29:N29,F31:N31)</f>
        <v>0.88890000000000002</v>
      </c>
      <c r="F31" s="288">
        <f>ROUND(F32/$D$32,4)</f>
        <v>0.1111</v>
      </c>
      <c r="G31" s="288">
        <f t="shared" ref="G31:N31" si="3">ROUND(G32/$D$32,4)</f>
        <v>0</v>
      </c>
      <c r="H31" s="288">
        <f t="shared" si="3"/>
        <v>0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540</v>
      </c>
      <c r="D32" s="294">
        <f>SUMPRODUCT(E32:N32,E29:N29)</f>
        <v>1.125</v>
      </c>
      <c r="E32" s="289">
        <v>1</v>
      </c>
      <c r="F32" s="289">
        <v>0.125</v>
      </c>
      <c r="G32" s="289">
        <v>0</v>
      </c>
      <c r="H32" s="289">
        <v>0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545</v>
      </c>
      <c r="E36" s="163" t="s">
        <v>456</v>
      </c>
      <c r="F36" s="163" t="s">
        <v>457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352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543</v>
      </c>
      <c r="D46" s="202" t="s">
        <v>541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>
      <c r="B47" s="194"/>
      <c r="C47" s="201" t="s">
        <v>351</v>
      </c>
      <c r="D47" s="202" t="s">
        <v>541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532</v>
      </c>
      <c r="D55" s="154" t="s">
        <v>522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544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527</v>
      </c>
      <c r="D58" s="189"/>
      <c r="E58" s="157" t="str">
        <f>E24</f>
        <v>Fuhlsbüttel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>
        <f>E25</f>
        <v>10147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11">IF(F64&gt;$F$62,0,1)</f>
        <v>1</v>
      </c>
      <c r="G63" s="179">
        <f t="shared" si="11"/>
        <v>1</v>
      </c>
      <c r="H63" s="179">
        <f t="shared" si="11"/>
        <v>1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533</v>
      </c>
      <c r="D65" s="187" t="s">
        <v>255</v>
      </c>
      <c r="E65" s="288">
        <f>1-SUMPRODUCT(F63:N63,F65:N65)</f>
        <v>0.88890000000000002</v>
      </c>
      <c r="F65" s="288">
        <f>ROUND(F66/$D$66,4)</f>
        <v>0.1111</v>
      </c>
      <c r="G65" s="288">
        <f t="shared" ref="G65:N65" si="12">ROUND(G66/$D$66,4)</f>
        <v>0</v>
      </c>
      <c r="H65" s="288">
        <f t="shared" si="12"/>
        <v>0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540</v>
      </c>
      <c r="D66" s="187">
        <f>SUMPRODUCT(E66:N66,E63:N63)</f>
        <v>1.125</v>
      </c>
      <c r="E66" s="296">
        <f>E32</f>
        <v>1</v>
      </c>
      <c r="F66" s="296">
        <f t="shared" ref="F66:N66" si="13">F32</f>
        <v>0.125</v>
      </c>
      <c r="G66" s="296">
        <f t="shared" si="13"/>
        <v>0</v>
      </c>
      <c r="H66" s="296">
        <f t="shared" si="13"/>
        <v>0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145</v>
      </c>
    </row>
    <row r="67" spans="2:15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142</v>
      </c>
    </row>
    <row r="69" spans="2:15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142</v>
      </c>
    </row>
    <row r="70" spans="2:15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142</v>
      </c>
    </row>
    <row r="71" spans="2:15"/>
    <row r="72" spans="2:15" ht="15.75" customHeight="1">
      <c r="C72" s="347" t="s">
        <v>587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 E26:N26 E56:N60 E22:F22 I22:N22 F52 F62 G24:N24 G70:N70 E33:N34 E69:N69 F25:N25 G36:N36 E32 I32:N32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551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GASPOOLNH7003401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300">
        <v>2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5" t="s">
        <v>591</v>
      </c>
      <c r="D13" s="345"/>
      <c r="E13" s="345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6" t="s">
        <v>452</v>
      </c>
      <c r="D14" s="346"/>
      <c r="E14" s="90" t="s">
        <v>453</v>
      </c>
      <c r="F14" s="267" t="s">
        <v>85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46" t="s">
        <v>390</v>
      </c>
      <c r="D15" s="346"/>
      <c r="E15" s="90" t="s">
        <v>453</v>
      </c>
      <c r="F15" s="267" t="s">
        <v>71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530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532</v>
      </c>
      <c r="D21" s="154" t="s">
        <v>522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544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527</v>
      </c>
      <c r="D24" s="189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 t="s">
        <v>366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533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540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352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543</v>
      </c>
      <c r="D46" s="202" t="s">
        <v>541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>
      <c r="B47" s="194"/>
      <c r="C47" s="201" t="s">
        <v>351</v>
      </c>
      <c r="D47" s="202" t="s">
        <v>541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532</v>
      </c>
      <c r="D55" s="154" t="s">
        <v>522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544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527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533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540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47" t="s">
        <v>587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12" sqref="F12:F24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367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372</v>
      </c>
      <c r="D5" s="54" t="str">
        <f>Netzbetreiber!$D$9</f>
        <v xml:space="preserve">Stadtwerke Pinneberg GmbH 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339</v>
      </c>
      <c r="D6" s="54" t="str">
        <f>Netzbetreiber!$D$28</f>
        <v>GASPOOLNH7003401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 t="str">
        <f>Netzbetreiber!$D$11</f>
        <v>9870034000008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42278</v>
      </c>
      <c r="E8" s="131"/>
      <c r="F8" s="131"/>
      <c r="H8" s="129" t="s">
        <v>500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8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6" t="s">
        <v>655</v>
      </c>
    </row>
    <row r="11" spans="2:26" ht="15.75" thickBot="1">
      <c r="B11" s="140" t="s">
        <v>501</v>
      </c>
      <c r="C11" s="141" t="s">
        <v>516</v>
      </c>
      <c r="D11" s="305" t="s">
        <v>248</v>
      </c>
      <c r="E11" s="165" t="s">
        <v>523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GASPOOLNH7003401</v>
      </c>
      <c r="D12" s="63" t="s">
        <v>248</v>
      </c>
      <c r="E12" s="167" t="s">
        <v>667</v>
      </c>
      <c r="F12" s="308" t="str">
        <f>VLOOKUP($E12,'BDEW-Standard'!$B$3:$M$94,F$9,0)</f>
        <v>BA3</v>
      </c>
      <c r="H12" s="279">
        <f>ROUND(VLOOKUP($E12,'BDEW-Standard'!$B$3:$M$94,H$9,0),7)</f>
        <v>0.62619619999999998</v>
      </c>
      <c r="I12" s="279">
        <f>ROUND(VLOOKUP($E12,'BDEW-Standard'!$B$3:$M$94,I$9,0),7)</f>
        <v>-33</v>
      </c>
      <c r="J12" s="279">
        <f>ROUND(VLOOKUP($E12,'BDEW-Standard'!$B$3:$M$94,J$9,0),7)</f>
        <v>5.7212303000000002</v>
      </c>
      <c r="K12" s="279">
        <f>ROUND(VLOOKUP($E12,'BDEW-Standard'!$B$3:$M$94,K$9,0),7)</f>
        <v>0.78556550000000003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3" si="1">($H12/(1+($I12/($Q$9-$L12))^$J12)+$K12)+MAX($M12*$Q$9+$N12,$O12*$Q$9+$P12)</f>
        <v>1.0711738317583412</v>
      </c>
      <c r="R12" s="282">
        <f>ROUND(VLOOKUP(MID($E12,4,3),'Wochentag F(WT)'!$B$7:$J$22,R$9,0),4)</f>
        <v>1.0848</v>
      </c>
      <c r="S12" s="282">
        <f>ROUND(VLOOKUP(MID($E12,4,3),'Wochentag F(WT)'!$B$7:$J$22,S$9,0),4)</f>
        <v>1.1211</v>
      </c>
      <c r="T12" s="282">
        <f>ROUND(VLOOKUP(MID($E12,4,3),'Wochentag F(WT)'!$B$7:$J$22,T$9,0),4)</f>
        <v>1.0769</v>
      </c>
      <c r="U12" s="282">
        <f>ROUND(VLOOKUP(MID($E12,4,3),'Wochentag F(WT)'!$B$7:$J$22,U$9,0),4)</f>
        <v>1.1353</v>
      </c>
      <c r="V12" s="282">
        <f>ROUND(VLOOKUP(MID($E12,4,3),'Wochentag F(WT)'!$B$7:$J$22,V$9,0),4)</f>
        <v>1.1402000000000001</v>
      </c>
      <c r="W12" s="282">
        <f>ROUND(VLOOKUP(MID($E12,4,3),'Wochentag F(WT)'!$B$7:$J$22,W$9,0),4)</f>
        <v>0.48520000000000002</v>
      </c>
      <c r="X12" s="283">
        <f>7-SUM(R12:W12)</f>
        <v>0.95650000000000013</v>
      </c>
      <c r="Y12" s="304"/>
      <c r="Z12" s="213"/>
    </row>
    <row r="13" spans="2:26" s="144" customFormat="1">
      <c r="B13" s="145">
        <v>2</v>
      </c>
      <c r="C13" s="146" t="str">
        <f t="shared" si="0"/>
        <v>GASPOOLNH7003401</v>
      </c>
      <c r="D13" s="63" t="s">
        <v>248</v>
      </c>
      <c r="E13" s="166" t="s">
        <v>668</v>
      </c>
      <c r="F13" s="308" t="str">
        <f>VLOOKUP($E13,'BDEW-Standard'!$B$3:$M$94,F$9,0)</f>
        <v>BD3</v>
      </c>
      <c r="H13" s="279">
        <f>ROUND(VLOOKUP($E13,'BDEW-Standard'!$B$3:$M$94,H$9,0),7)</f>
        <v>2.9177027</v>
      </c>
      <c r="I13" s="279">
        <f>ROUND(VLOOKUP($E13,'BDEW-Standard'!$B$3:$M$94,I$9,0),7)</f>
        <v>-36.179411700000003</v>
      </c>
      <c r="J13" s="279">
        <f>ROUND(VLOOKUP($E13,'BDEW-Standard'!$B$3:$M$94,J$9,0),7)</f>
        <v>5.9265162</v>
      </c>
      <c r="K13" s="279">
        <f>ROUND(VLOOKUP($E13,'BDEW-Standard'!$B$3:$M$94,K$9,0),7)</f>
        <v>0.11519119999999999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1.0656106174494469</v>
      </c>
      <c r="R13" s="282">
        <f>ROUND(VLOOKUP(MID($E13,4,3),'Wochentag F(WT)'!$B$7:$J$22,R$9,0),4)</f>
        <v>1.1052</v>
      </c>
      <c r="S13" s="282">
        <f>ROUND(VLOOKUP(MID($E13,4,3),'Wochentag F(WT)'!$B$7:$J$22,S$9,0),4)</f>
        <v>1.0857000000000001</v>
      </c>
      <c r="T13" s="282">
        <f>ROUND(VLOOKUP(MID($E13,4,3),'Wochentag F(WT)'!$B$7:$J$22,T$9,0),4)</f>
        <v>1.0378000000000001</v>
      </c>
      <c r="U13" s="282">
        <f>ROUND(VLOOKUP(MID($E13,4,3),'Wochentag F(WT)'!$B$7:$J$22,U$9,0),4)</f>
        <v>1.0622</v>
      </c>
      <c r="V13" s="282">
        <f>ROUND(VLOOKUP(MID($E13,4,3),'Wochentag F(WT)'!$B$7:$J$22,V$9,0),4)</f>
        <v>1.0266</v>
      </c>
      <c r="W13" s="282">
        <f>ROUND(VLOOKUP(MID($E13,4,3),'Wochentag F(WT)'!$B$7:$J$22,W$9,0),4)</f>
        <v>0.76290000000000002</v>
      </c>
      <c r="X13" s="283">
        <f t="shared" ref="X13:X23" si="2">7-SUM(R13:W13)</f>
        <v>0.91959999999999997</v>
      </c>
      <c r="Y13" s="304"/>
      <c r="Z13" s="213"/>
    </row>
    <row r="14" spans="2:26" s="144" customFormat="1">
      <c r="B14" s="145">
        <v>3</v>
      </c>
      <c r="C14" s="146" t="str">
        <f t="shared" si="0"/>
        <v>GASPOOLNH7003401</v>
      </c>
      <c r="D14" s="63" t="s">
        <v>248</v>
      </c>
      <c r="E14" s="166" t="s">
        <v>669</v>
      </c>
      <c r="F14" s="308" t="str">
        <f>VLOOKUP($E14,'BDEW-Standard'!$B$3:$M$94,F$9,0)</f>
        <v>BH3</v>
      </c>
      <c r="H14" s="279">
        <f>ROUND(VLOOKUP($E14,'BDEW-Standard'!$B$3:$M$94,H$9,0),7)</f>
        <v>2.0102471999999998</v>
      </c>
      <c r="I14" s="279">
        <f>ROUND(VLOOKUP($E14,'BDEW-Standard'!$B$3:$M$94,I$9,0),7)</f>
        <v>-35.253212400000002</v>
      </c>
      <c r="J14" s="279">
        <f>ROUND(VLOOKUP($E14,'BDEW-Standard'!$B$3:$M$94,J$9,0),7)</f>
        <v>6.1544406</v>
      </c>
      <c r="K14" s="279">
        <f>ROUND(VLOOKUP($E14,'BDEW-Standard'!$B$3:$M$94,K$9,0),7)</f>
        <v>0.32947409999999999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1.0436896084076008</v>
      </c>
      <c r="R14" s="282">
        <f>ROUND(VLOOKUP(MID($E14,4,3),'Wochentag F(WT)'!$B$7:$J$22,R$9,0),4)</f>
        <v>0.97670000000000001</v>
      </c>
      <c r="S14" s="282">
        <f>ROUND(VLOOKUP(MID($E14,4,3),'Wochentag F(WT)'!$B$7:$J$22,S$9,0),4)</f>
        <v>1.0388999999999999</v>
      </c>
      <c r="T14" s="282">
        <f>ROUND(VLOOKUP(MID($E14,4,3),'Wochentag F(WT)'!$B$7:$J$22,T$9,0),4)</f>
        <v>1.0027999999999999</v>
      </c>
      <c r="U14" s="282">
        <f>ROUND(VLOOKUP(MID($E14,4,3),'Wochentag F(WT)'!$B$7:$J$22,U$9,0),4)</f>
        <v>1.0162</v>
      </c>
      <c r="V14" s="282">
        <f>ROUND(VLOOKUP(MID($E14,4,3),'Wochentag F(WT)'!$B$7:$J$22,V$9,0),4)</f>
        <v>1.0024</v>
      </c>
      <c r="W14" s="282">
        <f>ROUND(VLOOKUP(MID($E14,4,3),'Wochentag F(WT)'!$B$7:$J$22,W$9,0),4)</f>
        <v>1.0043</v>
      </c>
      <c r="X14" s="283">
        <f t="shared" si="2"/>
        <v>0.95870000000000122</v>
      </c>
      <c r="Y14" s="304"/>
      <c r="Z14" s="213"/>
    </row>
    <row r="15" spans="2:26" s="144" customFormat="1">
      <c r="B15" s="145">
        <v>4</v>
      </c>
      <c r="C15" s="146" t="str">
        <f t="shared" si="0"/>
        <v>GASPOOLNH7003401</v>
      </c>
      <c r="D15" s="63" t="s">
        <v>248</v>
      </c>
      <c r="E15" s="167" t="s">
        <v>670</v>
      </c>
      <c r="F15" s="308" t="str">
        <f>VLOOKUP($E15,'BDEW-Standard'!$B$3:$M$94,F$9,0)</f>
        <v>GA3</v>
      </c>
      <c r="H15" s="279">
        <f>ROUND(VLOOKUP($E15,'BDEW-Standard'!$B$3:$M$94,H$9,0),7)</f>
        <v>2.2850164999999998</v>
      </c>
      <c r="I15" s="279">
        <f>ROUND(VLOOKUP($E15,'BDEW-Standard'!$B$3:$M$94,I$9,0),7)</f>
        <v>-36.287858399999998</v>
      </c>
      <c r="J15" s="279">
        <f>ROUND(VLOOKUP($E15,'BDEW-Standard'!$B$3:$M$94,J$9,0),7)</f>
        <v>6.5885125999999996</v>
      </c>
      <c r="K15" s="279">
        <f>ROUND(VLOOKUP($E15,'BDEW-Standard'!$B$3:$M$94,K$9,0),7)</f>
        <v>0.31505349999999999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1.0096183914256316</v>
      </c>
      <c r="R15" s="282">
        <f>ROUND(VLOOKUP(MID($E15,4,3),'Wochentag F(WT)'!$B$7:$J$22,R$9,0),4)</f>
        <v>0.93220000000000003</v>
      </c>
      <c r="S15" s="282">
        <f>ROUND(VLOOKUP(MID($E15,4,3),'Wochentag F(WT)'!$B$7:$J$22,S$9,0),4)</f>
        <v>0.98939999999999995</v>
      </c>
      <c r="T15" s="282">
        <f>ROUND(VLOOKUP(MID($E15,4,3),'Wochentag F(WT)'!$B$7:$J$22,T$9,0),4)</f>
        <v>1.0033000000000001</v>
      </c>
      <c r="U15" s="282">
        <f>ROUND(VLOOKUP(MID($E15,4,3),'Wochentag F(WT)'!$B$7:$J$22,U$9,0),4)</f>
        <v>1.0108999999999999</v>
      </c>
      <c r="V15" s="282">
        <f>ROUND(VLOOKUP(MID($E15,4,3),'Wochentag F(WT)'!$B$7:$J$22,V$9,0),4)</f>
        <v>1.018</v>
      </c>
      <c r="W15" s="282">
        <f>ROUND(VLOOKUP(MID($E15,4,3),'Wochentag F(WT)'!$B$7:$J$22,W$9,0),4)</f>
        <v>1.0356000000000001</v>
      </c>
      <c r="X15" s="283">
        <f t="shared" si="2"/>
        <v>1.0106000000000002</v>
      </c>
      <c r="Y15" s="304"/>
      <c r="Z15" s="213"/>
    </row>
    <row r="16" spans="2:26" s="144" customFormat="1">
      <c r="B16" s="145">
        <v>5</v>
      </c>
      <c r="C16" s="146" t="str">
        <f t="shared" si="0"/>
        <v>GASPOOLNH7003401</v>
      </c>
      <c r="D16" s="63" t="s">
        <v>248</v>
      </c>
      <c r="E16" s="167" t="s">
        <v>671</v>
      </c>
      <c r="F16" s="308" t="str">
        <f>VLOOKUP($E16,'BDEW-Standard'!$B$3:$M$94,F$9,0)</f>
        <v>GB3</v>
      </c>
      <c r="H16" s="279">
        <f>ROUND(VLOOKUP($E16,'BDEW-Standard'!$B$3:$M$94,H$9,0),7)</f>
        <v>3.2572741999999999</v>
      </c>
      <c r="I16" s="279">
        <f>ROUND(VLOOKUP($E16,'BDEW-Standard'!$B$3:$M$94,I$9,0),7)</f>
        <v>-37.5</v>
      </c>
      <c r="J16" s="279">
        <f>ROUND(VLOOKUP($E16,'BDEW-Standard'!$B$3:$M$94,J$9,0),7)</f>
        <v>6.3462148000000003</v>
      </c>
      <c r="K16" s="279">
        <f>ROUND(VLOOKUP($E16,'BDEW-Standard'!$B$3:$M$94,K$9,0),7)</f>
        <v>8.6622699999999997E-2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0.9584556323619029</v>
      </c>
      <c r="R16" s="282">
        <f>ROUND(VLOOKUP(MID($E16,4,3),'Wochentag F(WT)'!$B$7:$J$22,R$9,0),4)</f>
        <v>0.98970000000000002</v>
      </c>
      <c r="S16" s="282">
        <f>ROUND(VLOOKUP(MID($E16,4,3),'Wochentag F(WT)'!$B$7:$J$22,S$9,0),4)</f>
        <v>0.9627</v>
      </c>
      <c r="T16" s="282">
        <f>ROUND(VLOOKUP(MID($E16,4,3),'Wochentag F(WT)'!$B$7:$J$22,T$9,0),4)</f>
        <v>1.0507</v>
      </c>
      <c r="U16" s="282">
        <f>ROUND(VLOOKUP(MID($E16,4,3),'Wochentag F(WT)'!$B$7:$J$22,U$9,0),4)</f>
        <v>1.0551999999999999</v>
      </c>
      <c r="V16" s="282">
        <f>ROUND(VLOOKUP(MID($E16,4,3),'Wochentag F(WT)'!$B$7:$J$22,V$9,0),4)</f>
        <v>1.0297000000000001</v>
      </c>
      <c r="W16" s="282">
        <f>ROUND(VLOOKUP(MID($E16,4,3),'Wochentag F(WT)'!$B$7:$J$22,W$9,0),4)</f>
        <v>0.97670000000000001</v>
      </c>
      <c r="X16" s="283">
        <f t="shared" si="2"/>
        <v>0.9352999999999998</v>
      </c>
      <c r="Y16" s="304"/>
      <c r="Z16" s="213"/>
    </row>
    <row r="17" spans="2:26" s="144" customFormat="1">
      <c r="B17" s="145">
        <v>6</v>
      </c>
      <c r="C17" s="146" t="str">
        <f t="shared" si="0"/>
        <v>GASPOOLNH7003401</v>
      </c>
      <c r="D17" s="63" t="s">
        <v>248</v>
      </c>
      <c r="E17" s="167" t="s">
        <v>672</v>
      </c>
      <c r="F17" s="308" t="str">
        <f>VLOOKUP($E17,'BDEW-Standard'!$B$3:$M$94,F$9,0)</f>
        <v>HA3</v>
      </c>
      <c r="H17" s="279">
        <f>ROUND(VLOOKUP($E17,'BDEW-Standard'!$B$3:$M$94,H$9,0),7)</f>
        <v>3.5811213999999998</v>
      </c>
      <c r="I17" s="279">
        <f>ROUND(VLOOKUP($E17,'BDEW-Standard'!$B$3:$M$94,I$9,0),7)</f>
        <v>-36.965006500000001</v>
      </c>
      <c r="J17" s="279">
        <f>ROUND(VLOOKUP($E17,'BDEW-Standard'!$B$3:$M$94,J$9,0),7)</f>
        <v>7.2256947</v>
      </c>
      <c r="K17" s="279">
        <f>ROUND(VLOOKUP($E17,'BDEW-Standard'!$B$3:$M$94,K$9,0),7)</f>
        <v>4.4841600000000002E-2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0.97852945357176691</v>
      </c>
      <c r="R17" s="282">
        <f>ROUND(VLOOKUP(MID($E17,4,3),'Wochentag F(WT)'!$B$7:$J$22,R$9,0),4)</f>
        <v>1.0358000000000001</v>
      </c>
      <c r="S17" s="282">
        <f>ROUND(VLOOKUP(MID($E17,4,3),'Wochentag F(WT)'!$B$7:$J$22,S$9,0),4)</f>
        <v>1.0232000000000001</v>
      </c>
      <c r="T17" s="282">
        <f>ROUND(VLOOKUP(MID($E17,4,3),'Wochentag F(WT)'!$B$7:$J$22,T$9,0),4)</f>
        <v>1.0251999999999999</v>
      </c>
      <c r="U17" s="282">
        <f>ROUND(VLOOKUP(MID($E17,4,3),'Wochentag F(WT)'!$B$7:$J$22,U$9,0),4)</f>
        <v>1.0295000000000001</v>
      </c>
      <c r="V17" s="282">
        <f>ROUND(VLOOKUP(MID($E17,4,3),'Wochentag F(WT)'!$B$7:$J$22,V$9,0),4)</f>
        <v>1.0253000000000001</v>
      </c>
      <c r="W17" s="282">
        <f>ROUND(VLOOKUP(MID($E17,4,3),'Wochentag F(WT)'!$B$7:$J$22,W$9,0),4)</f>
        <v>0.96750000000000003</v>
      </c>
      <c r="X17" s="283">
        <f t="shared" si="2"/>
        <v>0.89350000000000041</v>
      </c>
      <c r="Y17" s="304"/>
      <c r="Z17" s="213"/>
    </row>
    <row r="18" spans="2:26" s="144" customFormat="1">
      <c r="B18" s="145">
        <v>7</v>
      </c>
      <c r="C18" s="146" t="str">
        <f t="shared" si="0"/>
        <v>GASPOOLNH7003401</v>
      </c>
      <c r="D18" s="63" t="s">
        <v>248</v>
      </c>
      <c r="E18" s="167" t="s">
        <v>4</v>
      </c>
      <c r="F18" s="308" t="str">
        <f>VLOOKUP($E18,'BDEW-Standard'!$B$3:$M$94,F$9,0)</f>
        <v>HK3</v>
      </c>
      <c r="H18" s="279">
        <f>ROUND(VLOOKUP($E18,'BDEW-Standard'!$B$3:$M$94,H$9,0),7)</f>
        <v>0.40409319999999999</v>
      </c>
      <c r="I18" s="279">
        <f>ROUND(VLOOKUP($E18,'BDEW-Standard'!$B$3:$M$94,I$9,0),7)</f>
        <v>-24.439296800000001</v>
      </c>
      <c r="J18" s="279">
        <f>ROUND(VLOOKUP($E18,'BDEW-Standard'!$B$3:$M$94,J$9,0),7)</f>
        <v>6.5718174999999999</v>
      </c>
      <c r="K18" s="279">
        <f>ROUND(VLOOKUP($E18,'BDEW-Standard'!$B$3:$M$94,K$9,0),7)</f>
        <v>0.71077100000000004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1.0561214000512988</v>
      </c>
      <c r="R18" s="282">
        <f>ROUND(VLOOKUP(MID($E18,4,3),'Wochentag F(WT)'!$B$7:$J$22,R$9,0),4)</f>
        <v>1</v>
      </c>
      <c r="S18" s="282">
        <f>ROUND(VLOOKUP(MID($E18,4,3),'Wochentag F(WT)'!$B$7:$J$22,S$9,0),4)</f>
        <v>1</v>
      </c>
      <c r="T18" s="282">
        <f>ROUND(VLOOKUP(MID($E18,4,3),'Wochentag F(WT)'!$B$7:$J$22,T$9,0),4)</f>
        <v>1</v>
      </c>
      <c r="U18" s="282">
        <f>ROUND(VLOOKUP(MID($E18,4,3),'Wochentag F(WT)'!$B$7:$J$22,U$9,0),4)</f>
        <v>1</v>
      </c>
      <c r="V18" s="282">
        <f>ROUND(VLOOKUP(MID($E18,4,3),'Wochentag F(WT)'!$B$7:$J$22,V$9,0),4)</f>
        <v>1</v>
      </c>
      <c r="W18" s="282">
        <f>ROUND(VLOOKUP(MID($E18,4,3),'Wochentag F(WT)'!$B$7:$J$22,W$9,0),4)</f>
        <v>1</v>
      </c>
      <c r="X18" s="283">
        <f t="shared" si="2"/>
        <v>1</v>
      </c>
      <c r="Y18" s="304"/>
      <c r="Z18" s="213"/>
    </row>
    <row r="19" spans="2:26" s="144" customFormat="1">
      <c r="B19" s="145">
        <v>8</v>
      </c>
      <c r="C19" s="146" t="str">
        <f t="shared" si="0"/>
        <v>GASPOOLNH7003401</v>
      </c>
      <c r="D19" s="63" t="s">
        <v>248</v>
      </c>
      <c r="E19" s="167" t="s">
        <v>673</v>
      </c>
      <c r="F19" s="308" t="str">
        <f>VLOOKUP($E19,'BDEW-Standard'!$B$3:$M$94,F$9,0)</f>
        <v>KO3</v>
      </c>
      <c r="H19" s="279">
        <f>ROUND(VLOOKUP($E19,'BDEW-Standard'!$B$3:$M$94,H$9,0),7)</f>
        <v>2.7172288</v>
      </c>
      <c r="I19" s="279">
        <f>ROUND(VLOOKUP($E19,'BDEW-Standard'!$B$3:$M$94,I$9,0),7)</f>
        <v>-35.141256300000002</v>
      </c>
      <c r="J19" s="279">
        <f>ROUND(VLOOKUP($E19,'BDEW-Standard'!$B$3:$M$94,J$9,0),7)</f>
        <v>7.1303394999999998</v>
      </c>
      <c r="K19" s="279">
        <f>ROUND(VLOOKUP($E19,'BDEW-Standard'!$B$3:$M$94,K$9,0),7)</f>
        <v>0.14184720000000001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1.0630299199876638</v>
      </c>
      <c r="R19" s="282">
        <f>ROUND(VLOOKUP(MID($E19,4,3),'Wochentag F(WT)'!$B$7:$J$22,R$9,0),4)</f>
        <v>1.0354000000000001</v>
      </c>
      <c r="S19" s="282">
        <f>ROUND(VLOOKUP(MID($E19,4,3),'Wochentag F(WT)'!$B$7:$J$22,S$9,0),4)</f>
        <v>1.0523</v>
      </c>
      <c r="T19" s="282">
        <f>ROUND(VLOOKUP(MID($E19,4,3),'Wochentag F(WT)'!$B$7:$J$22,T$9,0),4)</f>
        <v>1.0448999999999999</v>
      </c>
      <c r="U19" s="282">
        <f>ROUND(VLOOKUP(MID($E19,4,3),'Wochentag F(WT)'!$B$7:$J$22,U$9,0),4)</f>
        <v>1.0494000000000001</v>
      </c>
      <c r="V19" s="282">
        <f>ROUND(VLOOKUP(MID($E19,4,3),'Wochentag F(WT)'!$B$7:$J$22,V$9,0),4)</f>
        <v>0.98850000000000005</v>
      </c>
      <c r="W19" s="282">
        <f>ROUND(VLOOKUP(MID($E19,4,3),'Wochentag F(WT)'!$B$7:$J$22,W$9,0),4)</f>
        <v>0.88600000000000001</v>
      </c>
      <c r="X19" s="283">
        <f t="shared" si="2"/>
        <v>0.94349999999999934</v>
      </c>
      <c r="Y19" s="304"/>
      <c r="Z19" s="213"/>
    </row>
    <row r="20" spans="2:26" s="144" customFormat="1">
      <c r="B20" s="145">
        <v>9</v>
      </c>
      <c r="C20" s="146" t="str">
        <f t="shared" si="0"/>
        <v>GASPOOLNH7003401</v>
      </c>
      <c r="D20" s="63" t="s">
        <v>248</v>
      </c>
      <c r="E20" s="167" t="s">
        <v>674</v>
      </c>
      <c r="F20" s="308" t="str">
        <f>VLOOKUP($E20,'BDEW-Standard'!$B$3:$M$94,F$9,0)</f>
        <v>MF3</v>
      </c>
      <c r="H20" s="279">
        <f>ROUND(VLOOKUP($E20,'BDEW-Standard'!$B$3:$M$94,H$9,0),7)</f>
        <v>2.3877617999999998</v>
      </c>
      <c r="I20" s="279">
        <f>ROUND(VLOOKUP($E20,'BDEW-Standard'!$B$3:$M$94,I$9,0),7)</f>
        <v>-34.721360500000003</v>
      </c>
      <c r="J20" s="279">
        <f>ROUND(VLOOKUP($E20,'BDEW-Standard'!$B$3:$M$94,J$9,0),7)</f>
        <v>5.8164303999999998</v>
      </c>
      <c r="K20" s="279">
        <f>ROUND(VLOOKUP($E20,'BDEW-Standard'!$B$3:$M$94,K$9,0),7)</f>
        <v>0.12081939999999999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1.0365184142102302</v>
      </c>
      <c r="R20" s="282">
        <f>ROUND(VLOOKUP(MID($E20,4,3),'Wochentag F(WT)'!$B$7:$J$22,R$9,0),4)</f>
        <v>1.0354000000000001</v>
      </c>
      <c r="S20" s="282">
        <f>ROUND(VLOOKUP(MID($E20,4,3),'Wochentag F(WT)'!$B$7:$J$22,S$9,0),4)</f>
        <v>1.0523</v>
      </c>
      <c r="T20" s="282">
        <f>ROUND(VLOOKUP(MID($E20,4,3),'Wochentag F(WT)'!$B$7:$J$22,T$9,0),4)</f>
        <v>1.0448999999999999</v>
      </c>
      <c r="U20" s="282">
        <f>ROUND(VLOOKUP(MID($E20,4,3),'Wochentag F(WT)'!$B$7:$J$22,U$9,0),4)</f>
        <v>1.0494000000000001</v>
      </c>
      <c r="V20" s="282">
        <f>ROUND(VLOOKUP(MID($E20,4,3),'Wochentag F(WT)'!$B$7:$J$22,V$9,0),4)</f>
        <v>0.98850000000000005</v>
      </c>
      <c r="W20" s="282">
        <f>ROUND(VLOOKUP(MID($E20,4,3),'Wochentag F(WT)'!$B$7:$J$22,W$9,0),4)</f>
        <v>0.88600000000000001</v>
      </c>
      <c r="X20" s="283">
        <f t="shared" si="2"/>
        <v>0.94349999999999934</v>
      </c>
      <c r="Y20" s="304"/>
      <c r="Z20" s="213"/>
    </row>
    <row r="21" spans="2:26" s="144" customFormat="1">
      <c r="B21" s="145">
        <v>10</v>
      </c>
      <c r="C21" s="146" t="str">
        <f t="shared" si="0"/>
        <v>GASPOOLNH7003401</v>
      </c>
      <c r="D21" s="63" t="s">
        <v>248</v>
      </c>
      <c r="E21" s="167" t="s">
        <v>675</v>
      </c>
      <c r="F21" s="308" t="str">
        <f>VLOOKUP($E21,'BDEW-Standard'!$B$3:$M$94,F$9,0)</f>
        <v>MK3</v>
      </c>
      <c r="H21" s="279">
        <f>ROUND(VLOOKUP($E21,'BDEW-Standard'!$B$3:$M$94,H$9,0),7)</f>
        <v>2.7882424000000001</v>
      </c>
      <c r="I21" s="279">
        <f>ROUND(VLOOKUP($E21,'BDEW-Standard'!$B$3:$M$94,I$9,0),7)</f>
        <v>-34.880612999999997</v>
      </c>
      <c r="J21" s="279">
        <f>ROUND(VLOOKUP($E21,'BDEW-Standard'!$B$3:$M$94,J$9,0),7)</f>
        <v>6.5951899000000003</v>
      </c>
      <c r="K21" s="279">
        <f>ROUND(VLOOKUP($E21,'BDEW-Standard'!$B$3:$M$94,K$9,0),7)</f>
        <v>5.4032900000000002E-2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1.0622306107520199</v>
      </c>
      <c r="R21" s="282">
        <f>ROUND(VLOOKUP(MID($E21,4,3),'Wochentag F(WT)'!$B$7:$J$22,R$9,0),4)</f>
        <v>1.0699000000000001</v>
      </c>
      <c r="S21" s="282">
        <f>ROUND(VLOOKUP(MID($E21,4,3),'Wochentag F(WT)'!$B$7:$J$22,S$9,0),4)</f>
        <v>1.0365</v>
      </c>
      <c r="T21" s="282">
        <f>ROUND(VLOOKUP(MID($E21,4,3),'Wochentag F(WT)'!$B$7:$J$22,T$9,0),4)</f>
        <v>0.99329999999999996</v>
      </c>
      <c r="U21" s="282">
        <f>ROUND(VLOOKUP(MID($E21,4,3),'Wochentag F(WT)'!$B$7:$J$22,U$9,0),4)</f>
        <v>0.99480000000000002</v>
      </c>
      <c r="V21" s="282">
        <f>ROUND(VLOOKUP(MID($E21,4,3),'Wochentag F(WT)'!$B$7:$J$22,V$9,0),4)</f>
        <v>1.0659000000000001</v>
      </c>
      <c r="W21" s="282">
        <f>ROUND(VLOOKUP(MID($E21,4,3),'Wochentag F(WT)'!$B$7:$J$22,W$9,0),4)</f>
        <v>0.93620000000000003</v>
      </c>
      <c r="X21" s="283">
        <f t="shared" si="2"/>
        <v>0.90339999999999954</v>
      </c>
      <c r="Y21" s="304"/>
      <c r="Z21" s="213"/>
    </row>
    <row r="22" spans="2:26" s="144" customFormat="1">
      <c r="B22" s="145">
        <v>11</v>
      </c>
      <c r="C22" s="146" t="str">
        <f t="shared" si="0"/>
        <v>GASPOOLNH7003401</v>
      </c>
      <c r="D22" s="63" t="s">
        <v>248</v>
      </c>
      <c r="E22" s="167" t="s">
        <v>676</v>
      </c>
      <c r="F22" s="308" t="str">
        <f>VLOOKUP($E22,'BDEW-Standard'!$B$3:$M$94,F$9,0)</f>
        <v>PD3</v>
      </c>
      <c r="H22" s="279">
        <f>ROUND(VLOOKUP($E22,'BDEW-Standard'!$B$3:$M$94,H$9,0),7)</f>
        <v>3.2</v>
      </c>
      <c r="I22" s="279">
        <f>ROUND(VLOOKUP($E22,'BDEW-Standard'!$B$3:$M$94,I$9,0),7)</f>
        <v>-35.799999999999997</v>
      </c>
      <c r="J22" s="279">
        <f>ROUND(VLOOKUP($E22,'BDEW-Standard'!$B$3:$M$94,J$9,0),7)</f>
        <v>8.4</v>
      </c>
      <c r="K22" s="279">
        <f>ROUND(VLOOKUP($E22,'BDEW-Standard'!$B$3:$M$94,K$9,0),7)</f>
        <v>9.3848600000000004E-2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0.99106250024889242</v>
      </c>
      <c r="R22" s="282">
        <f>ROUND(VLOOKUP(MID($E22,4,3),'Wochentag F(WT)'!$B$7:$J$22,R$9,0),4)</f>
        <v>1.0214000000000001</v>
      </c>
      <c r="S22" s="282">
        <f>ROUND(VLOOKUP(MID($E22,4,3),'Wochentag F(WT)'!$B$7:$J$22,S$9,0),4)</f>
        <v>1.0866</v>
      </c>
      <c r="T22" s="282">
        <f>ROUND(VLOOKUP(MID($E22,4,3),'Wochentag F(WT)'!$B$7:$J$22,T$9,0),4)</f>
        <v>1.0720000000000001</v>
      </c>
      <c r="U22" s="282">
        <f>ROUND(VLOOKUP(MID($E22,4,3),'Wochentag F(WT)'!$B$7:$J$22,U$9,0),4)</f>
        <v>1.0557000000000001</v>
      </c>
      <c r="V22" s="282">
        <f>ROUND(VLOOKUP(MID($E22,4,3),'Wochentag F(WT)'!$B$7:$J$22,V$9,0),4)</f>
        <v>1.0117</v>
      </c>
      <c r="W22" s="282">
        <f>ROUND(VLOOKUP(MID($E22,4,3),'Wochentag F(WT)'!$B$7:$J$22,W$9,0),4)</f>
        <v>0.90010000000000001</v>
      </c>
      <c r="X22" s="283">
        <f t="shared" si="2"/>
        <v>0.85249999999999915</v>
      </c>
      <c r="Y22" s="304"/>
      <c r="Z22" s="213"/>
    </row>
    <row r="23" spans="2:26" s="144" customFormat="1">
      <c r="B23" s="145">
        <v>12</v>
      </c>
      <c r="C23" s="146" t="str">
        <f t="shared" si="0"/>
        <v>GASPOOLNH7003401</v>
      </c>
      <c r="D23" s="63" t="s">
        <v>248</v>
      </c>
      <c r="E23" s="167" t="s">
        <v>677</v>
      </c>
      <c r="F23" s="308" t="str">
        <f>VLOOKUP($E23,'BDEW-Standard'!$B$3:$M$94,F$9,0)</f>
        <v>WA3</v>
      </c>
      <c r="H23" s="279">
        <f>ROUND(VLOOKUP($E23,'BDEW-Standard'!$B$3:$M$94,H$9,0),7)</f>
        <v>0.76572899999999999</v>
      </c>
      <c r="I23" s="279">
        <f>ROUND(VLOOKUP($E23,'BDEW-Standard'!$B$3:$M$94,I$9,0),7)</f>
        <v>-36.023791199999998</v>
      </c>
      <c r="J23" s="279">
        <f>ROUND(VLOOKUP($E23,'BDEW-Standard'!$B$3:$M$94,J$9,0),7)</f>
        <v>4.8662747</v>
      </c>
      <c r="K23" s="279">
        <f>ROUND(VLOOKUP($E23,'BDEW-Standard'!$B$3:$M$94,K$9,0),7)</f>
        <v>0.80494250000000001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1.0804258319686442</v>
      </c>
      <c r="R23" s="282">
        <f>ROUND(VLOOKUP(MID($E23,4,3),'Wochentag F(WT)'!$B$7:$J$22,R$9,0),4)</f>
        <v>1.2457</v>
      </c>
      <c r="S23" s="282">
        <f>ROUND(VLOOKUP(MID($E23,4,3),'Wochentag F(WT)'!$B$7:$J$22,S$9,0),4)</f>
        <v>1.2615000000000001</v>
      </c>
      <c r="T23" s="282">
        <f>ROUND(VLOOKUP(MID($E23,4,3),'Wochentag F(WT)'!$B$7:$J$22,T$9,0),4)</f>
        <v>1.2706999999999999</v>
      </c>
      <c r="U23" s="282">
        <f>ROUND(VLOOKUP(MID($E23,4,3),'Wochentag F(WT)'!$B$7:$J$22,U$9,0),4)</f>
        <v>1.2430000000000001</v>
      </c>
      <c r="V23" s="282">
        <f>ROUND(VLOOKUP(MID($E23,4,3),'Wochentag F(WT)'!$B$7:$J$22,V$9,0),4)</f>
        <v>1.1275999999999999</v>
      </c>
      <c r="W23" s="282">
        <f>ROUND(VLOOKUP(MID($E23,4,3),'Wochentag F(WT)'!$B$7:$J$22,W$9,0),4)</f>
        <v>0.38769999999999999</v>
      </c>
      <c r="X23" s="283">
        <f t="shared" si="2"/>
        <v>0.46379999999999999</v>
      </c>
      <c r="Y23" s="304"/>
      <c r="Z23" s="213"/>
    </row>
    <row r="24" spans="2:26" s="144" customFormat="1">
      <c r="B24" s="145">
        <v>13</v>
      </c>
      <c r="C24" s="146" t="str">
        <f t="shared" si="0"/>
        <v>GASPOOLNH7003401</v>
      </c>
      <c r="D24" s="63" t="s">
        <v>678</v>
      </c>
      <c r="E24" s="167"/>
      <c r="F24" s="341" t="s">
        <v>679</v>
      </c>
      <c r="H24" s="279">
        <v>2.5</v>
      </c>
      <c r="I24" s="344" t="s">
        <v>681</v>
      </c>
      <c r="J24" s="279">
        <v>9.5736068000000003</v>
      </c>
      <c r="K24" s="279">
        <v>0.81931220000000005</v>
      </c>
      <c r="L24" s="280">
        <v>40</v>
      </c>
      <c r="M24" s="279"/>
      <c r="N24" s="279"/>
      <c r="O24" s="279"/>
      <c r="P24" s="279"/>
      <c r="Q24" s="281"/>
      <c r="R24" s="282">
        <v>1</v>
      </c>
      <c r="S24" s="282">
        <v>1</v>
      </c>
      <c r="T24" s="282">
        <v>1</v>
      </c>
      <c r="U24" s="282">
        <v>1</v>
      </c>
      <c r="V24" s="282">
        <v>1</v>
      </c>
      <c r="W24" s="282">
        <v>1</v>
      </c>
      <c r="X24" s="283">
        <v>1</v>
      </c>
      <c r="Y24" s="304"/>
      <c r="Z24" s="213"/>
    </row>
    <row r="25" spans="2:26" s="144" customFormat="1">
      <c r="B25" s="145">
        <v>14</v>
      </c>
      <c r="C25" s="146" t="str">
        <f t="shared" si="0"/>
        <v>GASPOOLNH7003401</v>
      </c>
      <c r="D25" s="63" t="s">
        <v>248</v>
      </c>
      <c r="E25" s="167"/>
      <c r="F25" s="341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GASPOOLNH7003401</v>
      </c>
      <c r="D26" s="63" t="s">
        <v>248</v>
      </c>
      <c r="E26" s="167"/>
      <c r="F26" s="341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GASPOOLNH7003401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GASPOOLNH7003401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GASPOOLNH7003401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GASPOOLNH7003401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GASPOOLNH7003401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GASPOOLNH7003401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GASPOOLNH7003401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GASPOOLNH7003401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GASPOOLNH7003401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GASPOOLNH7003401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GASPOOLNH7003401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GASPOOLNH7003401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GASPOOLNH7003401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GASPOOLNH7003401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GASPOOLNH7003401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349</v>
      </c>
      <c r="B1" s="217">
        <v>42173</v>
      </c>
      <c r="D1" s="132" t="s">
        <v>458</v>
      </c>
      <c r="F1" s="218" t="s">
        <v>552</v>
      </c>
      <c r="N1" s="219"/>
    </row>
    <row r="2" spans="1:14" ht="25.5">
      <c r="A2" s="220" t="s">
        <v>272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6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323</v>
      </c>
      <c r="D96" s="236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328</v>
      </c>
      <c r="D97" s="236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333</v>
      </c>
      <c r="D98" s="236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286</v>
      </c>
      <c r="D99" s="236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6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6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6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6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6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6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6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6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6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6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6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6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6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6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6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6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6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6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6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6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6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6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6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6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6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6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6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6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6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6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6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6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6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6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6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6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6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6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6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6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6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6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6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6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6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6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6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6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6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6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6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6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6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6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6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6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6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6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6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X35" sqref="X35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 xml:space="preserve">Stadtwerke Pinneberg GmbH 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GASPOOLNH7003401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64" t="str">
        <f>Netzbetreiber!$D$11</f>
        <v>9870034000008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8" t="s">
        <v>462</v>
      </c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0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374</v>
      </c>
      <c r="O9" s="93" t="s">
        <v>375</v>
      </c>
      <c r="P9" s="93" t="s">
        <v>376</v>
      </c>
      <c r="Q9" s="93" t="s">
        <v>377</v>
      </c>
      <c r="R9" s="93" t="s">
        <v>378</v>
      </c>
      <c r="S9" s="93" t="s">
        <v>379</v>
      </c>
      <c r="T9" s="93" t="s">
        <v>380</v>
      </c>
      <c r="U9" s="93" t="s">
        <v>381</v>
      </c>
      <c r="V9" s="93" t="s">
        <v>382</v>
      </c>
      <c r="W9" s="93" t="s">
        <v>383</v>
      </c>
      <c r="X9" s="93" t="s">
        <v>384</v>
      </c>
      <c r="Y9" s="93" t="s">
        <v>385</v>
      </c>
      <c r="Z9" s="93" t="s">
        <v>386</v>
      </c>
      <c r="AA9" s="93" t="s">
        <v>387</v>
      </c>
      <c r="AB9" s="93" t="s">
        <v>388</v>
      </c>
      <c r="AC9" s="94" t="s">
        <v>389</v>
      </c>
      <c r="AD9" s="94" t="s">
        <v>431</v>
      </c>
    </row>
    <row r="10" spans="2:30" ht="72" customHeight="1" thickBot="1">
      <c r="B10" s="353" t="s">
        <v>590</v>
      </c>
      <c r="C10" s="354"/>
      <c r="D10" s="95">
        <v>2</v>
      </c>
      <c r="E10" s="96" t="str">
        <f>IF(ISERROR(HLOOKUP(E$11,$M$9:$AD$33,$D10,0)),"",HLOOKUP(E$11,$M$9:$AD$33,$D10,0))</f>
        <v/>
      </c>
      <c r="F10" s="351" t="s">
        <v>400</v>
      </c>
      <c r="G10" s="351"/>
      <c r="H10" s="351"/>
      <c r="I10" s="351"/>
      <c r="J10" s="351"/>
      <c r="K10" s="351"/>
      <c r="L10" s="352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432</v>
      </c>
    </row>
    <row r="11" spans="2:30" ht="15.75" thickBot="1">
      <c r="B11" s="103" t="s">
        <v>423</v>
      </c>
      <c r="C11" s="104"/>
      <c r="D11" s="105">
        <v>3</v>
      </c>
      <c r="E11" s="106"/>
      <c r="F11" s="107" t="s">
        <v>391</v>
      </c>
      <c r="G11" s="108" t="s">
        <v>392</v>
      </c>
      <c r="H11" s="108" t="s">
        <v>393</v>
      </c>
      <c r="I11" s="108" t="s">
        <v>394</v>
      </c>
      <c r="J11" s="108" t="s">
        <v>395</v>
      </c>
      <c r="K11" s="108" t="s">
        <v>396</v>
      </c>
      <c r="L11" s="109" t="s">
        <v>397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1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401</v>
      </c>
      <c r="C12" s="111"/>
      <c r="D12" s="112">
        <v>4</v>
      </c>
      <c r="E12" s="315">
        <f>MIN(SUMPRODUCT($M$11:$AD$11,M12:AD12),1)</f>
        <v>1</v>
      </c>
      <c r="F12" s="312" t="s">
        <v>397</v>
      </c>
      <c r="G12" s="79" t="s">
        <v>397</v>
      </c>
      <c r="H12" s="79" t="s">
        <v>397</v>
      </c>
      <c r="I12" s="79" t="s">
        <v>397</v>
      </c>
      <c r="J12" s="79" t="s">
        <v>397</v>
      </c>
      <c r="K12" s="79" t="s">
        <v>397</v>
      </c>
      <c r="L12" s="80" t="s">
        <v>397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/>
    </row>
    <row r="13" spans="2:30" ht="15">
      <c r="B13" s="117" t="s">
        <v>402</v>
      </c>
      <c r="C13" s="118"/>
      <c r="D13" s="112">
        <v>5</v>
      </c>
      <c r="E13" s="316">
        <f t="shared" ref="E13:E33" si="0">MIN(SUMPRODUCT($M$11:$AD$11,M13:AD13),1)</f>
        <v>0</v>
      </c>
      <c r="F13" s="313" t="s">
        <v>404</v>
      </c>
      <c r="G13" s="81" t="s">
        <v>404</v>
      </c>
      <c r="H13" s="81" t="s">
        <v>404</v>
      </c>
      <c r="I13" s="81" t="s">
        <v>404</v>
      </c>
      <c r="J13" s="81" t="s">
        <v>404</v>
      </c>
      <c r="K13" s="81" t="s">
        <v>404</v>
      </c>
      <c r="L13" s="82" t="s">
        <v>404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403</v>
      </c>
      <c r="C14" s="118"/>
      <c r="D14" s="112">
        <v>6</v>
      </c>
      <c r="E14" s="316">
        <f t="shared" si="0"/>
        <v>0</v>
      </c>
      <c r="F14" s="313" t="s">
        <v>404</v>
      </c>
      <c r="G14" s="81" t="s">
        <v>404</v>
      </c>
      <c r="H14" s="81" t="s">
        <v>404</v>
      </c>
      <c r="I14" s="81" t="s">
        <v>404</v>
      </c>
      <c r="J14" s="81" t="s">
        <v>404</v>
      </c>
      <c r="K14" s="81" t="s">
        <v>404</v>
      </c>
      <c r="L14" s="82" t="s">
        <v>404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405</v>
      </c>
      <c r="C15" s="118"/>
      <c r="D15" s="112">
        <v>7</v>
      </c>
      <c r="E15" s="316">
        <f t="shared" si="0"/>
        <v>0</v>
      </c>
      <c r="F15" s="313" t="s">
        <v>404</v>
      </c>
      <c r="G15" s="81" t="s">
        <v>404</v>
      </c>
      <c r="H15" s="81" t="s">
        <v>404</v>
      </c>
      <c r="I15" s="81" t="s">
        <v>404</v>
      </c>
      <c r="J15" s="81" t="s">
        <v>404</v>
      </c>
      <c r="K15" s="81" t="s">
        <v>404</v>
      </c>
      <c r="L15" s="82" t="s">
        <v>404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417</v>
      </c>
      <c r="C16" s="118"/>
      <c r="D16" s="112">
        <v>8</v>
      </c>
      <c r="E16" s="316">
        <f t="shared" si="0"/>
        <v>1</v>
      </c>
      <c r="F16" s="313" t="s">
        <v>404</v>
      </c>
      <c r="G16" s="81" t="s">
        <v>404</v>
      </c>
      <c r="H16" s="81" t="s">
        <v>404</v>
      </c>
      <c r="I16" s="81" t="s">
        <v>404</v>
      </c>
      <c r="J16" s="81" t="s">
        <v>397</v>
      </c>
      <c r="K16" s="81" t="s">
        <v>404</v>
      </c>
      <c r="L16" s="82" t="s">
        <v>404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418</v>
      </c>
      <c r="C17" s="118"/>
      <c r="D17" s="112">
        <v>9</v>
      </c>
      <c r="E17" s="316">
        <f t="shared" si="0"/>
        <v>1</v>
      </c>
      <c r="F17" s="313" t="s">
        <v>404</v>
      </c>
      <c r="G17" s="81" t="s">
        <v>404</v>
      </c>
      <c r="H17" s="81" t="s">
        <v>404</v>
      </c>
      <c r="I17" s="81" t="s">
        <v>404</v>
      </c>
      <c r="J17" s="81" t="s">
        <v>404</v>
      </c>
      <c r="K17" s="81" t="s">
        <v>404</v>
      </c>
      <c r="L17" s="82" t="s">
        <v>397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419</v>
      </c>
      <c r="C18" s="118"/>
      <c r="D18" s="112">
        <v>10</v>
      </c>
      <c r="E18" s="316">
        <f t="shared" si="0"/>
        <v>1</v>
      </c>
      <c r="F18" s="313" t="s">
        <v>397</v>
      </c>
      <c r="G18" s="81" t="s">
        <v>404</v>
      </c>
      <c r="H18" s="81" t="s">
        <v>404</v>
      </c>
      <c r="I18" s="81" t="s">
        <v>404</v>
      </c>
      <c r="J18" s="81" t="s">
        <v>404</v>
      </c>
      <c r="K18" s="81" t="s">
        <v>404</v>
      </c>
      <c r="L18" s="82" t="s">
        <v>404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406</v>
      </c>
      <c r="C19" s="118"/>
      <c r="D19" s="112">
        <v>11</v>
      </c>
      <c r="E19" s="316">
        <f t="shared" si="0"/>
        <v>1</v>
      </c>
      <c r="F19" s="313" t="s">
        <v>397</v>
      </c>
      <c r="G19" s="81" t="s">
        <v>397</v>
      </c>
      <c r="H19" s="81" t="s">
        <v>397</v>
      </c>
      <c r="I19" s="81" t="s">
        <v>397</v>
      </c>
      <c r="J19" s="81" t="s">
        <v>397</v>
      </c>
      <c r="K19" s="81" t="s">
        <v>397</v>
      </c>
      <c r="L19" s="82" t="s">
        <v>397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656</v>
      </c>
      <c r="C20" s="118"/>
      <c r="D20" s="112">
        <v>12</v>
      </c>
      <c r="E20" s="316">
        <f t="shared" si="0"/>
        <v>1</v>
      </c>
      <c r="F20" s="313" t="s">
        <v>404</v>
      </c>
      <c r="G20" s="81" t="s">
        <v>404</v>
      </c>
      <c r="H20" s="81" t="s">
        <v>404</v>
      </c>
      <c r="I20" s="81" t="s">
        <v>404</v>
      </c>
      <c r="J20" s="81" t="s">
        <v>404</v>
      </c>
      <c r="K20" s="81" t="s">
        <v>404</v>
      </c>
      <c r="L20" s="82" t="s">
        <v>404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420</v>
      </c>
      <c r="C21" s="118"/>
      <c r="D21" s="112">
        <v>13</v>
      </c>
      <c r="E21" s="316">
        <f t="shared" si="0"/>
        <v>1</v>
      </c>
      <c r="F21" s="313" t="s">
        <v>404</v>
      </c>
      <c r="G21" s="81" t="s">
        <v>404</v>
      </c>
      <c r="H21" s="81" t="s">
        <v>404</v>
      </c>
      <c r="I21" s="81" t="s">
        <v>404</v>
      </c>
      <c r="J21" s="81" t="s">
        <v>404</v>
      </c>
      <c r="K21" s="81" t="s">
        <v>404</v>
      </c>
      <c r="L21" s="82" t="s">
        <v>397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421</v>
      </c>
      <c r="C22" s="118"/>
      <c r="D22" s="112">
        <v>14</v>
      </c>
      <c r="E22" s="316">
        <f t="shared" si="0"/>
        <v>1</v>
      </c>
      <c r="F22" s="313" t="s">
        <v>397</v>
      </c>
      <c r="G22" s="81" t="s">
        <v>404</v>
      </c>
      <c r="H22" s="81" t="s">
        <v>404</v>
      </c>
      <c r="I22" s="81" t="s">
        <v>404</v>
      </c>
      <c r="J22" s="81" t="s">
        <v>404</v>
      </c>
      <c r="K22" s="81" t="s">
        <v>404</v>
      </c>
      <c r="L22" s="82" t="s">
        <v>404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422</v>
      </c>
      <c r="C23" s="118"/>
      <c r="D23" s="112">
        <v>15</v>
      </c>
      <c r="E23" s="316">
        <f t="shared" si="0"/>
        <v>0</v>
      </c>
      <c r="F23" s="313" t="s">
        <v>404</v>
      </c>
      <c r="G23" s="81" t="s">
        <v>404</v>
      </c>
      <c r="H23" s="81" t="s">
        <v>404</v>
      </c>
      <c r="I23" s="81" t="s">
        <v>404</v>
      </c>
      <c r="J23" s="81" t="s">
        <v>404</v>
      </c>
      <c r="K23" s="81" t="s">
        <v>404</v>
      </c>
      <c r="L23" s="82" t="s">
        <v>404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407</v>
      </c>
      <c r="C24" s="118"/>
      <c r="D24" s="112">
        <v>16</v>
      </c>
      <c r="E24" s="316">
        <f t="shared" si="0"/>
        <v>0</v>
      </c>
      <c r="F24" s="313" t="s">
        <v>404</v>
      </c>
      <c r="G24" s="81" t="s">
        <v>404</v>
      </c>
      <c r="H24" s="81" t="s">
        <v>404</v>
      </c>
      <c r="I24" s="81" t="s">
        <v>404</v>
      </c>
      <c r="J24" s="81" t="s">
        <v>404</v>
      </c>
      <c r="K24" s="81" t="s">
        <v>404</v>
      </c>
      <c r="L24" s="82" t="s">
        <v>404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408</v>
      </c>
      <c r="C25" s="118"/>
      <c r="D25" s="112">
        <v>17</v>
      </c>
      <c r="E25" s="316">
        <f t="shared" si="0"/>
        <v>0</v>
      </c>
      <c r="F25" s="313" t="s">
        <v>404</v>
      </c>
      <c r="G25" s="81" t="s">
        <v>404</v>
      </c>
      <c r="H25" s="81" t="s">
        <v>404</v>
      </c>
      <c r="I25" s="81" t="s">
        <v>404</v>
      </c>
      <c r="J25" s="81" t="s">
        <v>404</v>
      </c>
      <c r="K25" s="81" t="s">
        <v>404</v>
      </c>
      <c r="L25" s="82" t="s">
        <v>404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409</v>
      </c>
      <c r="C26" s="118"/>
      <c r="D26" s="112">
        <v>18</v>
      </c>
      <c r="E26" s="316">
        <f t="shared" si="0"/>
        <v>1</v>
      </c>
      <c r="F26" s="313" t="s">
        <v>397</v>
      </c>
      <c r="G26" s="81" t="s">
        <v>397</v>
      </c>
      <c r="H26" s="81" t="s">
        <v>397</v>
      </c>
      <c r="I26" s="81" t="s">
        <v>397</v>
      </c>
      <c r="J26" s="81" t="s">
        <v>397</v>
      </c>
      <c r="K26" s="81" t="s">
        <v>397</v>
      </c>
      <c r="L26" s="82" t="s">
        <v>397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410</v>
      </c>
      <c r="C27" s="118"/>
      <c r="D27" s="112">
        <v>19</v>
      </c>
      <c r="E27" s="316">
        <f t="shared" si="0"/>
        <v>0</v>
      </c>
      <c r="F27" s="313" t="s">
        <v>404</v>
      </c>
      <c r="G27" s="81" t="s">
        <v>404</v>
      </c>
      <c r="H27" s="81" t="s">
        <v>404</v>
      </c>
      <c r="I27" s="81" t="s">
        <v>404</v>
      </c>
      <c r="J27" s="81" t="s">
        <v>404</v>
      </c>
      <c r="K27" s="81" t="s">
        <v>404</v>
      </c>
      <c r="L27" s="82" t="s">
        <v>404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411</v>
      </c>
      <c r="C28" s="118"/>
      <c r="D28" s="112">
        <v>20</v>
      </c>
      <c r="E28" s="316">
        <f t="shared" si="0"/>
        <v>0</v>
      </c>
      <c r="F28" s="313" t="s">
        <v>404</v>
      </c>
      <c r="G28" s="81" t="s">
        <v>404</v>
      </c>
      <c r="H28" s="81" t="s">
        <v>404</v>
      </c>
      <c r="I28" s="81" t="s">
        <v>404</v>
      </c>
      <c r="J28" s="81" t="s">
        <v>404</v>
      </c>
      <c r="K28" s="81" t="s">
        <v>404</v>
      </c>
      <c r="L28" s="82" t="s">
        <v>404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412</v>
      </c>
      <c r="C29" s="118"/>
      <c r="D29" s="112">
        <v>21</v>
      </c>
      <c r="E29" s="316">
        <f t="shared" si="0"/>
        <v>0</v>
      </c>
      <c r="F29" s="313" t="s">
        <v>404</v>
      </c>
      <c r="G29" s="81" t="s">
        <v>404</v>
      </c>
      <c r="H29" s="81" t="s">
        <v>404</v>
      </c>
      <c r="I29" s="81" t="s">
        <v>404</v>
      </c>
      <c r="J29" s="81" t="s">
        <v>404</v>
      </c>
      <c r="K29" s="81" t="s">
        <v>404</v>
      </c>
      <c r="L29" s="82" t="s">
        <v>404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413</v>
      </c>
      <c r="C30" s="118"/>
      <c r="D30" s="112">
        <v>22</v>
      </c>
      <c r="E30" s="316">
        <f t="shared" si="0"/>
        <v>0</v>
      </c>
      <c r="F30" s="313" t="s">
        <v>404</v>
      </c>
      <c r="G30" s="81" t="s">
        <v>404</v>
      </c>
      <c r="H30" s="81" t="s">
        <v>404</v>
      </c>
      <c r="I30" s="81" t="s">
        <v>404</v>
      </c>
      <c r="J30" s="81" t="s">
        <v>404</v>
      </c>
      <c r="K30" s="81" t="s">
        <v>404</v>
      </c>
      <c r="L30" s="82" t="s">
        <v>404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414</v>
      </c>
      <c r="C31" s="118"/>
      <c r="D31" s="112">
        <v>23</v>
      </c>
      <c r="E31" s="316">
        <f t="shared" si="0"/>
        <v>1</v>
      </c>
      <c r="F31" s="313" t="s">
        <v>397</v>
      </c>
      <c r="G31" s="81" t="s">
        <v>397</v>
      </c>
      <c r="H31" s="81" t="s">
        <v>397</v>
      </c>
      <c r="I31" s="81" t="s">
        <v>397</v>
      </c>
      <c r="J31" s="81" t="s">
        <v>397</v>
      </c>
      <c r="K31" s="81" t="s">
        <v>397</v>
      </c>
      <c r="L31" s="82" t="s">
        <v>397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415</v>
      </c>
      <c r="C32" s="118"/>
      <c r="D32" s="112">
        <v>24</v>
      </c>
      <c r="E32" s="316">
        <f t="shared" si="0"/>
        <v>1</v>
      </c>
      <c r="F32" s="313" t="s">
        <v>397</v>
      </c>
      <c r="G32" s="81" t="s">
        <v>397</v>
      </c>
      <c r="H32" s="81" t="s">
        <v>397</v>
      </c>
      <c r="I32" s="81" t="s">
        <v>397</v>
      </c>
      <c r="J32" s="81" t="s">
        <v>397</v>
      </c>
      <c r="K32" s="81" t="s">
        <v>397</v>
      </c>
      <c r="L32" s="82" t="s">
        <v>397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416</v>
      </c>
      <c r="C33" s="124"/>
      <c r="D33" s="125">
        <v>25</v>
      </c>
      <c r="E33" s="317">
        <f t="shared" si="0"/>
        <v>0</v>
      </c>
      <c r="F33" s="314" t="s">
        <v>404</v>
      </c>
      <c r="G33" s="83" t="s">
        <v>404</v>
      </c>
      <c r="H33" s="83" t="s">
        <v>404</v>
      </c>
      <c r="I33" s="83" t="s">
        <v>404</v>
      </c>
      <c r="J33" s="83" t="s">
        <v>404</v>
      </c>
      <c r="K33" s="83" t="s">
        <v>404</v>
      </c>
      <c r="L33" s="84" t="s">
        <v>404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459</v>
      </c>
      <c r="B1" s="129"/>
      <c r="D1" s="218" t="s">
        <v>552</v>
      </c>
    </row>
    <row r="2" spans="1:16">
      <c r="A2" s="238"/>
      <c r="B2" s="237" t="s">
        <v>460</v>
      </c>
    </row>
    <row r="3" spans="1:16" ht="20.100000000000001" customHeight="1">
      <c r="A3" s="355" t="s">
        <v>249</v>
      </c>
      <c r="B3" s="239" t="s">
        <v>86</v>
      </c>
      <c r="C3" s="240"/>
      <c r="D3" s="357" t="s">
        <v>461</v>
      </c>
      <c r="E3" s="358"/>
      <c r="F3" s="358"/>
      <c r="G3" s="358"/>
      <c r="H3" s="358"/>
      <c r="I3" s="358"/>
      <c r="J3" s="359"/>
      <c r="K3" s="241"/>
      <c r="L3" s="241"/>
      <c r="M3" s="241"/>
      <c r="N3" s="241"/>
      <c r="O3" s="242"/>
      <c r="P3" s="241"/>
    </row>
    <row r="4" spans="1:16" ht="20.100000000000001" customHeight="1">
      <c r="A4" s="356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370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370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lewandowski</cp:lastModifiedBy>
  <cp:lastPrinted>2015-03-20T22:59:10Z</cp:lastPrinted>
  <dcterms:created xsi:type="dcterms:W3CDTF">2015-01-15T05:25:41Z</dcterms:created>
  <dcterms:modified xsi:type="dcterms:W3CDTF">2018-03-08T13:34:37Z</dcterms:modified>
</cp:coreProperties>
</file>